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trlProps/ctrlProp1.xml" ContentType="application/vnd.ms-excel.control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15 Bildung, Wissenschaft\Strukturerhebung\2023\"/>
    </mc:Choice>
  </mc:AlternateContent>
  <workbookProtection lockStructure="1"/>
  <bookViews>
    <workbookView xWindow="150" yWindow="210" windowWidth="19200" windowHeight="10125"/>
  </bookViews>
  <sheets>
    <sheet name="Schweiz" sheetId="8" r:id="rId1"/>
    <sheet name="Graubünden" sheetId="26" r:id="rId2"/>
    <sheet name="Uebersetzungen" sheetId="27" state="hidden" r:id="rId3"/>
  </sheets>
  <definedNames>
    <definedName name="_xlnm.Print_Area" localSheetId="0">Schweiz!$A$9:$N$48</definedName>
  </definedNames>
  <calcPr calcId="162913"/>
</workbook>
</file>

<file path=xl/calcChain.xml><?xml version="1.0" encoding="utf-8"?>
<calcChain xmlns="http://schemas.openxmlformats.org/spreadsheetml/2006/main">
  <c r="A46" i="8" l="1"/>
  <c r="A45" i="8"/>
  <c r="A52" i="26" l="1"/>
  <c r="A49" i="8"/>
  <c r="B44" i="26" l="1"/>
  <c r="B43" i="26"/>
  <c r="B42" i="26"/>
  <c r="B41" i="26"/>
  <c r="B40" i="26"/>
  <c r="B39" i="26"/>
  <c r="B38" i="26"/>
  <c r="B37" i="26"/>
  <c r="B36" i="26"/>
  <c r="B35" i="26"/>
  <c r="B34" i="26"/>
  <c r="A34" i="26"/>
  <c r="B33" i="26"/>
  <c r="B32" i="26"/>
  <c r="B31" i="26"/>
  <c r="A31" i="26"/>
  <c r="B30" i="26"/>
  <c r="B29" i="26"/>
  <c r="B28" i="26"/>
  <c r="B27" i="26"/>
  <c r="B26" i="26"/>
  <c r="A26" i="26"/>
  <c r="B25" i="26"/>
  <c r="B24" i="26"/>
  <c r="B23" i="26"/>
  <c r="B22" i="26"/>
  <c r="B21" i="26"/>
  <c r="A21" i="26"/>
  <c r="B20" i="26"/>
  <c r="B19" i="26"/>
  <c r="B18" i="26"/>
  <c r="A18" i="26"/>
  <c r="B17" i="26"/>
  <c r="B16" i="26"/>
  <c r="A16" i="26"/>
  <c r="A15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M13" i="26"/>
  <c r="K13" i="26"/>
  <c r="I13" i="26"/>
  <c r="G13" i="26"/>
  <c r="E13" i="26"/>
  <c r="C13" i="26"/>
  <c r="A10" i="26"/>
  <c r="A9" i="26"/>
  <c r="A7" i="26"/>
  <c r="A48" i="8"/>
  <c r="A44" i="8"/>
  <c r="A43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A16" i="8"/>
  <c r="A15" i="8"/>
  <c r="N14" i="8"/>
  <c r="M14" i="8"/>
  <c r="L14" i="8"/>
  <c r="K14" i="8"/>
  <c r="J14" i="8"/>
  <c r="I14" i="8"/>
  <c r="H14" i="8"/>
  <c r="G14" i="8"/>
  <c r="F14" i="8"/>
  <c r="E14" i="8"/>
  <c r="D14" i="8"/>
  <c r="C14" i="8"/>
  <c r="M13" i="8"/>
  <c r="K13" i="8"/>
  <c r="I13" i="8"/>
  <c r="G13" i="8"/>
  <c r="E13" i="8"/>
  <c r="C13" i="8"/>
  <c r="A10" i="8"/>
  <c r="A9" i="8"/>
  <c r="A7" i="8"/>
</calcChain>
</file>

<file path=xl/sharedStrings.xml><?xml version="1.0" encoding="utf-8"?>
<sst xmlns="http://schemas.openxmlformats.org/spreadsheetml/2006/main" count="406" uniqueCount="314">
  <si>
    <t>Total</t>
  </si>
  <si>
    <t>Ohne nachobligatorische Ausbildung</t>
  </si>
  <si>
    <t>Sekundarstufe II: Berufsbildung</t>
  </si>
  <si>
    <t>Sekundarstufe II: Allgemeinbildung</t>
  </si>
  <si>
    <t>Tertiärstufe: höhere Berufsbildung</t>
  </si>
  <si>
    <t>Tertiärstufe: Hochschulen</t>
  </si>
  <si>
    <t>Anzahl Personen</t>
  </si>
  <si>
    <t>Kanton</t>
  </si>
  <si>
    <t>Zürich</t>
  </si>
  <si>
    <t>Luzern</t>
  </si>
  <si>
    <t>Uri</t>
  </si>
  <si>
    <t>Schwyz</t>
  </si>
  <si>
    <t>Obwalden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</si>
  <si>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</si>
  <si>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</si>
  <si>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</si>
  <si>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</si>
  <si>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</si>
  <si>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</si>
  <si>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</si>
  <si>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Ausserrhoden</t>
  </si>
  <si>
    <t>Appenzell Innerrhoden</t>
  </si>
  <si>
    <t>St. Gallen</t>
  </si>
  <si>
    <t>Aargau</t>
  </si>
  <si>
    <t>Thurgau</t>
  </si>
  <si>
    <t>Ticino</t>
  </si>
  <si>
    <t>Vaud</t>
  </si>
  <si>
    <t>Neuchâtel</t>
  </si>
  <si>
    <t>Genève</t>
  </si>
  <si>
    <t>Jura</t>
  </si>
  <si>
    <t>(): Extrapolation aufgrund von 49 oder weniger Beobachtungen. Die Resultate sind mit grosser Vorsicht zu interpretieren.</t>
  </si>
  <si>
    <t>X: Extrapolation aufgrund von 4 oder weniger Beobachtungen. Die Resultate werden aus Gründen des Datenschutzes nicht publiziert.</t>
  </si>
  <si>
    <t>Die Grundgesamtheit der Strukturerhebung enthält alle Personen der ständigen Wohnbevölkerung ab vollendetem 15. Altersjahr, die in Privathaushalten leben.</t>
  </si>
  <si>
    <t>Aus der Grundgesamtheit ausgeschlossen wurden neben den Personen, die in Kollektivhaushalten leben, auch Diplomaten, internationale Funktionäre und deren Angehörige.</t>
  </si>
  <si>
    <t>Geschlecht</t>
  </si>
  <si>
    <t>Männer</t>
  </si>
  <si>
    <t>Frauen</t>
  </si>
  <si>
    <t>Alter</t>
  </si>
  <si>
    <t>25-44</t>
  </si>
  <si>
    <t>45-64</t>
  </si>
  <si>
    <t>65 und mehr</t>
  </si>
  <si>
    <t>Staatsangehörigkeit</t>
  </si>
  <si>
    <t>Schweiz</t>
  </si>
  <si>
    <t>Staatsangehörigkeit unbekannt</t>
  </si>
  <si>
    <t>Migrationsstatus</t>
  </si>
  <si>
    <t>Schweizer/innen ohne Migrationshintergrund</t>
  </si>
  <si>
    <t>Schweizer/innen mit Migrationshintergrund</t>
  </si>
  <si>
    <t>Ausländer/innen der ersten Generation</t>
  </si>
  <si>
    <t>Ausländer/innen der zweiten und höheren Generation</t>
  </si>
  <si>
    <t>Migrationshintergrund unbekannt</t>
  </si>
  <si>
    <t>Erwerbstätige</t>
  </si>
  <si>
    <t>Erwerbslose</t>
  </si>
  <si>
    <t>Nichterwerbspersonen</t>
  </si>
  <si>
    <t>Sozioprofessionelle Kategorien</t>
  </si>
  <si>
    <t>Oberstes Management</t>
  </si>
  <si>
    <t>Freie und gleichgestellte Berufe</t>
  </si>
  <si>
    <t>Andere Selbstständige</t>
  </si>
  <si>
    <t>Akademische Berufe und oberes Kader</t>
  </si>
  <si>
    <t>Intermediäre Berufe</t>
  </si>
  <si>
    <t>Qualifizierte nichtmanuelle Berufe</t>
  </si>
  <si>
    <t>Qualifizierte manuelle Berufe</t>
  </si>
  <si>
    <t>Lernende in dualer beruflicher Grundbildung (Lehrlinge)</t>
  </si>
  <si>
    <t>Erwerbslose und Nichterwerbspersonen</t>
  </si>
  <si>
    <t>Arbeitsmarktstatus</t>
  </si>
  <si>
    <t>Graubünden</t>
  </si>
  <si>
    <t>Bern</t>
  </si>
  <si>
    <t>Freiburg</t>
  </si>
  <si>
    <t>Wallis</t>
  </si>
  <si>
    <t>Quelle: BFS (Strukturerhebung)</t>
  </si>
  <si>
    <t>Aussereuropäischer Staat</t>
  </si>
  <si>
    <t>Ungelernte Angestellte und Arbeiter/innen</t>
  </si>
  <si>
    <t>Nicht zuteilbare Erwerbstätige (fehlende oder unklare Basisdaten)</t>
  </si>
  <si>
    <t>Ständige Wohnbevölkerung ab 25 Jahren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</si>
  <si>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</si>
  <si>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</si>
  <si>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</si>
  <si>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</si>
  <si>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</si>
  <si>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</si>
  <si>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</si>
  <si>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</si>
  <si>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</si>
  <si>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</si>
  <si>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T1-2</t>
  </si>
  <si>
    <t>&lt;Titel&gt;</t>
  </si>
  <si>
    <t>&lt;UTitel&gt;</t>
  </si>
  <si>
    <t>&lt;SpaltenTitel_1&gt;</t>
  </si>
  <si>
    <t>Totale</t>
  </si>
  <si>
    <t>&lt;SpaltenTitel_2&gt;</t>
  </si>
  <si>
    <t>&lt;SpaltenTitel_3&gt;</t>
  </si>
  <si>
    <t>Persunas cun activitad da gudogn</t>
  </si>
  <si>
    <t>Occupati</t>
  </si>
  <si>
    <t>&lt;SpaltenTitel_4&gt;</t>
  </si>
  <si>
    <t>&lt;SpaltenTitel_5&gt;</t>
  </si>
  <si>
    <t>&lt;SpaltenTitel_6&gt;</t>
  </si>
  <si>
    <t>Persunas senza activitad da gudogn</t>
  </si>
  <si>
    <t>Disoccupati</t>
  </si>
  <si>
    <t>Persone senza attività professionale</t>
  </si>
  <si>
    <t>&lt;SpaltenTitel_1.1&gt;</t>
  </si>
  <si>
    <t>Dumber da persunas</t>
  </si>
  <si>
    <t>Numero di persone</t>
  </si>
  <si>
    <t>&lt;SpaltenTitel_1.2&gt;</t>
  </si>
  <si>
    <t>Vertrauens- intervall:          ± (in %)</t>
  </si>
  <si>
    <t>Interval da confidenza:          ± (en %)</t>
  </si>
  <si>
    <t>Intervallo di confidenza:          ± (in %)</t>
  </si>
  <si>
    <t>T1</t>
  </si>
  <si>
    <t>&lt;Zeilentitel_1&gt;</t>
  </si>
  <si>
    <t>&lt;Zeilentitel_2&gt;</t>
  </si>
  <si>
    <t>Chantun</t>
  </si>
  <si>
    <t>Cantone</t>
  </si>
  <si>
    <t>&lt;Zeilentitel_2.1&gt;</t>
  </si>
  <si>
    <t>Turitg</t>
  </si>
  <si>
    <t>Zurigo</t>
  </si>
  <si>
    <t>&lt;Zeilentitel_2.2&gt;</t>
  </si>
  <si>
    <t>Berna</t>
  </si>
  <si>
    <t>&lt;Zeilentitel_2.3&gt;</t>
  </si>
  <si>
    <t>Lucerna</t>
  </si>
  <si>
    <t>&lt;Zeilentitel_2.4&gt;</t>
  </si>
  <si>
    <t>&lt;Zeilentitel_2.5&gt;</t>
  </si>
  <si>
    <t>Sviz</t>
  </si>
  <si>
    <t>Svitto</t>
  </si>
  <si>
    <t>&lt;Zeilentitel_2.6&gt;</t>
  </si>
  <si>
    <t>Sursilvania</t>
  </si>
  <si>
    <t>Obvaldo</t>
  </si>
  <si>
    <t>&lt;Zeilentitel_2.7&gt;</t>
  </si>
  <si>
    <t>Sutsilvania</t>
  </si>
  <si>
    <t>Nidvaldo</t>
  </si>
  <si>
    <t>&lt;Zeilentitel_2.8&gt;</t>
  </si>
  <si>
    <t>Glaruna</t>
  </si>
  <si>
    <t>Glarona</t>
  </si>
  <si>
    <t>&lt;Zeilentitel_2.9&gt;</t>
  </si>
  <si>
    <t>Zugo</t>
  </si>
  <si>
    <t>&lt;Zeilentitel_2.10&gt;</t>
  </si>
  <si>
    <t>Friburg</t>
  </si>
  <si>
    <t>Friborgo</t>
  </si>
  <si>
    <t>&lt;Zeilentitel_2.11&gt;</t>
  </si>
  <si>
    <t>Soloturn</t>
  </si>
  <si>
    <t>Soletta</t>
  </si>
  <si>
    <t>&lt;Zeilentitel_2.12&gt;</t>
  </si>
  <si>
    <t>Basilea-Citad</t>
  </si>
  <si>
    <t>Basilea Città</t>
  </si>
  <si>
    <t>&lt;Zeilentitel_2.13&gt;</t>
  </si>
  <si>
    <t>Basilea-Champagna</t>
  </si>
  <si>
    <t>Basilea Campagna</t>
  </si>
  <si>
    <t>&lt;Zeilentitel_2.14&gt;</t>
  </si>
  <si>
    <t>Schaffusa</t>
  </si>
  <si>
    <t>Sciaffusa</t>
  </si>
  <si>
    <t>&lt;Zeilentitel_2.15&gt;</t>
  </si>
  <si>
    <t>Appenzell Dadora</t>
  </si>
  <si>
    <t>Appenzello Esterno</t>
  </si>
  <si>
    <t>&lt;Zeilentitel_2.16&gt;</t>
  </si>
  <si>
    <t>Appenzell Dadens</t>
  </si>
  <si>
    <t>Appenzello Interno</t>
  </si>
  <si>
    <t>&lt;Zeilentitel_2.17&gt;</t>
  </si>
  <si>
    <t>Son Gagl</t>
  </si>
  <si>
    <t>San Gallo</t>
  </si>
  <si>
    <t>&lt;Zeilentitel_2.18&gt;</t>
  </si>
  <si>
    <t>Grischun</t>
  </si>
  <si>
    <t>Grigioni</t>
  </si>
  <si>
    <t>&lt;Zeilentitel_2.19&gt;</t>
  </si>
  <si>
    <t>Argovia</t>
  </si>
  <si>
    <t>&lt;Zeilentitel_2.20&gt;</t>
  </si>
  <si>
    <t>Turgovia</t>
  </si>
  <si>
    <t>&lt;Zeilentitel_2.21&gt;</t>
  </si>
  <si>
    <t>Tessin</t>
  </si>
  <si>
    <t>&lt;Zeilentitel_2.22&gt;</t>
  </si>
  <si>
    <t>Vad</t>
  </si>
  <si>
    <t>&lt;Zeilentitel_2.23&gt;</t>
  </si>
  <si>
    <t>Vallais</t>
  </si>
  <si>
    <t>Vallese</t>
  </si>
  <si>
    <t>&lt;Zeilentitel_2.24&gt;</t>
  </si>
  <si>
    <t>&lt;Zeilentitel_2.25&gt;</t>
  </si>
  <si>
    <t>Genevra</t>
  </si>
  <si>
    <t>Ginevra</t>
  </si>
  <si>
    <t>&lt;Zeilentitel_2.26&gt;</t>
  </si>
  <si>
    <t>Giura</t>
  </si>
  <si>
    <t>&lt;Legende_1&gt;</t>
  </si>
  <si>
    <t>(): Extrapolaziun sin basa da 49 u damain observaziuns. Ils resultats ston vegnir interpretads cun gronda precauziun.</t>
  </si>
  <si>
    <t>(): Estrapolazione basata su meno di 50 osservazioni. I risultati sono da interpretare con molta precauzione.</t>
  </si>
  <si>
    <t>&lt;Legende_2&gt;</t>
  </si>
  <si>
    <t>X: Extrapolaziun pervia da 4 u damain observaziuns. Per motivs da la protecziun da datas na vegnan ils resultats betg publitgads.</t>
  </si>
  <si>
    <t>X : Estrapolazione basata su meno di 5 osservazioni. I risultati non sono pubblicati per ragioni legate alla protezione dei dati.</t>
  </si>
  <si>
    <t>&lt;Legende_3&gt;</t>
  </si>
  <si>
    <t>La survista da basa da l'enquista da structura cumpiglia tut las persunas da la populaziun residenta permanenta a partir da 15 onns che vivan en chasadas privatas.</t>
  </si>
  <si>
    <t>L'universo di base della rilevazione strutturale comprende tutte le persone facenti parte della popolazione residente permanente di 15 anni e più che vivono in un'economia domestica.</t>
  </si>
  <si>
    <t>&lt;Legende_4&gt;</t>
  </si>
  <si>
    <t>Exclus da la totalitad fundamentala èn vegnids ultra da las persunas che vivan en chasadas collectivas er diplomats, funcziunaris internaziunals e lur confamigliars.</t>
  </si>
  <si>
    <t>Sono esclusi diplomatici, i funzionari internazionali ed i loro familiari e le persone che vivono in una collettività.</t>
  </si>
  <si>
    <t>&lt;Quelle_1&gt;</t>
  </si>
  <si>
    <t>Funtauna: UST (enquista da structura)</t>
  </si>
  <si>
    <t>Fonte: UST (Rilevazione strutturale)</t>
  </si>
  <si>
    <t>&lt;Aktualisierung&gt;</t>
  </si>
  <si>
    <t>T2</t>
  </si>
  <si>
    <t>&lt;T2Titel&gt;</t>
  </si>
  <si>
    <t>&lt;T2Zeilentitel_1&gt;</t>
  </si>
  <si>
    <t>&lt;T2Zeilentitel_2&gt;</t>
  </si>
  <si>
    <t>Sesso</t>
  </si>
  <si>
    <t>&lt;T2Zeilentitel_3&gt;</t>
  </si>
  <si>
    <t>Età</t>
  </si>
  <si>
    <t>&lt;T2Zeilentitel_4&gt;</t>
  </si>
  <si>
    <t>Naziunalitad</t>
  </si>
  <si>
    <t>Cittadinanza</t>
  </si>
  <si>
    <t>&lt;T2Zeilentitel_5&gt;</t>
  </si>
  <si>
    <t>Status da migraziun</t>
  </si>
  <si>
    <t>Passato migratorio</t>
  </si>
  <si>
    <t>&lt;T2Zeilentitel_6&gt;</t>
  </si>
  <si>
    <t>Categorias socioprofessiunalas</t>
  </si>
  <si>
    <t>Categorie socio-professionali</t>
  </si>
  <si>
    <t>&lt;T2Zeilentitel_7&gt;</t>
  </si>
  <si>
    <t>&lt;T2Zeilentitel_2.1&gt;</t>
  </si>
  <si>
    <t>Umens</t>
  </si>
  <si>
    <t>Uomini</t>
  </si>
  <si>
    <t>&lt;T2Zeilentitel_2.2&gt;</t>
  </si>
  <si>
    <t>Dunnas</t>
  </si>
  <si>
    <t>Donne</t>
  </si>
  <si>
    <t>&lt;T2Zeilentitel_3.1&gt;</t>
  </si>
  <si>
    <t>&lt;T2Zeilentitel_3.2&gt;</t>
  </si>
  <si>
    <t>&lt;T2Zeilentitel_3.3&gt;</t>
  </si>
  <si>
    <t>65 e dapli</t>
  </si>
  <si>
    <t>65 e più</t>
  </si>
  <si>
    <t>&lt;T2Zeilentitel_4.1&gt;</t>
  </si>
  <si>
    <t>Svizra</t>
  </si>
  <si>
    <t>Svizzera</t>
  </si>
  <si>
    <t>&lt;T2Zeilentitel_4.2&gt;</t>
  </si>
  <si>
    <t>UE e AELS</t>
  </si>
  <si>
    <t>&lt;T2Zeilentitel_4.3&gt;</t>
  </si>
  <si>
    <t>Altro paese europeo</t>
  </si>
  <si>
    <t>&lt;T2Zeilentitel_4.4&gt;</t>
  </si>
  <si>
    <t>Paese extraeuropeo</t>
  </si>
  <si>
    <t>&lt;T2Zeilentitel_4.5&gt;</t>
  </si>
  <si>
    <t>Naziunalitad n'è betg enconuschenta</t>
  </si>
  <si>
    <t>Cittadinanza sconosciuta</t>
  </si>
  <si>
    <t>&lt;T2Zeilentitel_5.1&gt;</t>
  </si>
  <si>
    <t>Svizzers senza retroterra da migraziun</t>
  </si>
  <si>
    <t>Svizzeri/e senza un passato migratorio</t>
  </si>
  <si>
    <t>&lt;T2Zeilentitel_5.2&gt;</t>
  </si>
  <si>
    <t>Svizzers cun ina migraziun</t>
  </si>
  <si>
    <t>Svizzeri/e con un passato migratorio</t>
  </si>
  <si>
    <t>&lt;T2Zeilentitel_5.3&gt;</t>
  </si>
  <si>
    <t>Persunas estras da l'emprima generaziun</t>
  </si>
  <si>
    <t>Stranieri/e di prima generazione</t>
  </si>
  <si>
    <t>&lt;T2Zeilentitel_5.4&gt;</t>
  </si>
  <si>
    <t>Persunas estras da la segunda generaziun e da l'emprima</t>
  </si>
  <si>
    <t>Stranieri/e di seconda generazione e più</t>
  </si>
  <si>
    <t>&lt;T2Zeilentitel_5.5&gt;</t>
  </si>
  <si>
    <t>La migraziun n'è betg enconuschenta</t>
  </si>
  <si>
    <t>Passato migratorio sconosciuto</t>
  </si>
  <si>
    <t>&lt;T2Zeilentitel_6.1&gt;</t>
  </si>
  <si>
    <t>Management suprem</t>
  </si>
  <si>
    <t>Management superiore</t>
  </si>
  <si>
    <t>&lt;T2Zeilentitel_6.2&gt;</t>
  </si>
  <si>
    <t>Professiuns libras ed egualas</t>
  </si>
  <si>
    <t>Professioni liberali ed equiparate</t>
  </si>
  <si>
    <t>&lt;T2Zeilentitel_6.3&gt;</t>
  </si>
  <si>
    <t>Autras persunas independentas</t>
  </si>
  <si>
    <t>Altri indipendenti</t>
  </si>
  <si>
    <t>Professiuns academicas e cader superiur</t>
  </si>
  <si>
    <t>Professioni accademiche e quadri superiori</t>
  </si>
  <si>
    <t>Professiuns intermediaras</t>
  </si>
  <si>
    <t>Professioni intermediarie</t>
  </si>
  <si>
    <t>Professiuns betg manualas qualifitgadas</t>
  </si>
  <si>
    <t>Professioni qualificate non manuali</t>
  </si>
  <si>
    <t>Professiuns manualas qualifitgadas</t>
  </si>
  <si>
    <t>Professioni qualificate manuali</t>
  </si>
  <si>
    <t>Impiegati e operai non qualificati</t>
  </si>
  <si>
    <t>Emprendistas ed emprendists en ina furmaziun fundamentala professiunala dubla (emprendists)</t>
  </si>
  <si>
    <t>Persone in formazione professionale di base duale (apprendisti)</t>
  </si>
  <si>
    <t>Occupati non attribuibili (dati di base mancanti)</t>
  </si>
  <si>
    <t>Persunas senza activitad da gudogn e persunas senza activitad da gudogn</t>
  </si>
  <si>
    <t>Disoccupati e persone senza attività professionale</t>
  </si>
  <si>
    <t>&lt;T2Zeilentitel_7.1&gt;</t>
  </si>
  <si>
    <t>Senza formazione postobbligatoria</t>
  </si>
  <si>
    <t>&lt;T2Zeilentitel_7.2&gt;</t>
  </si>
  <si>
    <t>&lt;T2Zeilentitel_7.3&gt;</t>
  </si>
  <si>
    <t>Höchste abgeschlossene Ausbildung nach Kanton</t>
  </si>
  <si>
    <t>Höchste abgeschlossene Ausbildung im Kanton Graubünden</t>
  </si>
  <si>
    <t>EU und EFTA</t>
  </si>
  <si>
    <t>Anderer europäischer Staat</t>
  </si>
  <si>
    <t>&lt;T2Zeilentitel_7.4&gt;</t>
  </si>
  <si>
    <t>&lt;T2Zeilentitel_7.5&gt;</t>
  </si>
  <si>
    <t>&lt;T2Zeilentitel_7.6&gt;</t>
  </si>
  <si>
    <t>&lt;T2Zeilentitel_7.7&gt;</t>
  </si>
  <si>
    <t>&lt;T2Zeilentitel_7.8&gt;</t>
  </si>
  <si>
    <t>&lt;T2Zeilentitel_7.9&gt;</t>
  </si>
  <si>
    <t>&lt;T2Zeilentitel_7.10&gt;</t>
  </si>
  <si>
    <t>&lt;T2Zeilentitel_7.11&gt;</t>
  </si>
  <si>
    <t>Formazione più elevata conclusa secondo il Cantone</t>
  </si>
  <si>
    <t>Popolazione residente permanente di 25 anni e più</t>
  </si>
  <si>
    <t>Livello secondario II: formazione professionale</t>
  </si>
  <si>
    <t>Livello secondario II: formazione generale</t>
  </si>
  <si>
    <t>Livello terziario: formazione professionale superiore</t>
  </si>
  <si>
    <t>Livello terziario: scuole superiori</t>
  </si>
  <si>
    <t>Posizione nel mercato del lavoro</t>
  </si>
  <si>
    <t>La pli auta scolaziun terminada tenor il chantun</t>
  </si>
  <si>
    <t>Populaziun residenta permanenta a partir da 25 onns</t>
  </si>
  <si>
    <t>Senza scolaziun postobligatorica</t>
  </si>
  <si>
    <t>Stgalim secundar II: furmaziun professiunala</t>
  </si>
  <si>
    <t>Stgalim secundar II: furmaziun generala</t>
  </si>
  <si>
    <t>Stgalim terziar: furmaziun professiunala superiura</t>
  </si>
  <si>
    <t>Stgalim terziar: scolas autas</t>
  </si>
  <si>
    <t>La pli auta scolaziun terminada en il chantun Grischun</t>
  </si>
  <si>
    <t>Schlattaina</t>
  </si>
  <si>
    <t>Vegliandrament</t>
  </si>
  <si>
    <t>Status dal martgà da lavur</t>
  </si>
  <si>
    <t>UE ed AECL</t>
  </si>
  <si>
    <t>In auter pajais europeic</t>
  </si>
  <si>
    <t>Emploiadas e lavurants betg emprendids</t>
  </si>
  <si>
    <t>Persunas cun activitad da gudogn che na pon betg vegnir attribuidas (datas da basa mancantas u betg cleras)</t>
  </si>
  <si>
    <t>Stadi ordaifer l'Europa</t>
  </si>
  <si>
    <t>Formazione più elevata conclusa nel Cantone dei Grigioni</t>
  </si>
  <si>
    <t>X</t>
  </si>
  <si>
    <t>Letztmals aktualisiert am: 27.01.2025</t>
  </si>
  <si>
    <t>Ultima actualisaziun: 27.01.2025</t>
  </si>
  <si>
    <t>Ulimo aggiornamento: 27.01.2025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</si>
</sst>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(* #,##0.00_);_(* \(#,##0.00\);_(* &quot;-&quot;??_);_(@_)"/>
    <numFmt numFmtId="165" formatCode="_ * #,##0_ ;_ * \-#,##0_ ;_ * &quot;-&quot;??_ ;_ @_ "/>
    <numFmt numFmtId="166" formatCode="_ * #,##0.0%_ ;_ * \-#,##0.0%_ ;_ * &quot;-&quot;??_ ;_ @_ "/>
    <numFmt numFmtId="167" formatCode="* #,###"/>
    <numFmt numFmtId="168" formatCode="_-* #,##0.00\ _€_-;\-* #,##0.00\ _€_-;_-* &quot;-&quot;??\ _€_-;_-@_-"/>
    <numFmt numFmtId="169" formatCode="0.0"/>
    <numFmt numFmtId="170" formatCode="\(0.0\)"/>
    <numFmt numFmtId="171" formatCode="\(##0\)"/>
    <numFmt numFmtId="172" formatCode="\(#\'##0\)"/>
  </numFmts>
  <fonts count="14" x14ac:knownFonts="1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color rgb="FFFF0000"/>
      <name val="Arial"/>
      <family val="2"/>
    </font>
    <font>
      <b/>
      <sz val="11"/>
      <color indexed="8"/>
      <name val="Arial"/>
      <family val="2"/>
    </font>
    <font>
      <sz val="8"/>
      <color rgb="FF000000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2" fillId="0" borderId="0"/>
    <xf numFmtId="0" fontId="6" fillId="0" borderId="0"/>
  </cellStyleXfs>
  <cellXfs count="115">
    <xf numFmtId="0" fontId="0" fillId="0" borderId="0" xfId="0"/>
    <xf numFmtId="0" fontId="5" fillId="3" borderId="0" xfId="0" applyNumberFormat="1" applyFont="1" applyFill="1" applyBorder="1" applyAlignment="1" applyProtection="1">
      <alignment horizontal="left" vertical="top"/>
    </xf>
    <xf numFmtId="165" fontId="5" fillId="3" borderId="0" xfId="1" applyNumberFormat="1" applyFont="1" applyFill="1" applyBorder="1" applyAlignment="1" applyProtection="1">
      <alignment horizontal="left" vertical="top"/>
    </xf>
    <xf numFmtId="0" fontId="1" fillId="2" borderId="0" xfId="0" applyNumberFormat="1" applyFont="1" applyFill="1" applyBorder="1" applyAlignment="1" applyProtection="1"/>
    <xf numFmtId="165" fontId="1" fillId="2" borderId="0" xfId="1" applyNumberFormat="1" applyFont="1" applyFill="1" applyBorder="1" applyAlignment="1" applyProtection="1"/>
    <xf numFmtId="166" fontId="1" fillId="2" borderId="0" xfId="1" applyNumberFormat="1" applyFont="1" applyFill="1" applyBorder="1" applyAlignment="1" applyProtection="1"/>
    <xf numFmtId="0" fontId="7" fillId="3" borderId="0" xfId="0" applyNumberFormat="1" applyFont="1" applyFill="1" applyBorder="1" applyAlignment="1" applyProtection="1">
      <alignment horizontal="left" vertical="center"/>
    </xf>
    <xf numFmtId="166" fontId="5" fillId="3" borderId="0" xfId="1" applyNumberFormat="1" applyFont="1" applyFill="1" applyBorder="1" applyAlignment="1" applyProtection="1">
      <alignment horizontal="left" vertical="top"/>
    </xf>
    <xf numFmtId="0" fontId="1" fillId="0" borderId="0" xfId="0" applyFont="1"/>
    <xf numFmtId="0" fontId="1" fillId="4" borderId="0" xfId="0" applyFont="1" applyFill="1"/>
    <xf numFmtId="0" fontId="7" fillId="3" borderId="0" xfId="0" applyNumberFormat="1" applyFont="1" applyFill="1" applyBorder="1" applyAlignment="1" applyProtection="1">
      <alignment horizontal="left" vertical="center" wrapText="1"/>
    </xf>
    <xf numFmtId="0" fontId="2" fillId="4" borderId="0" xfId="0" applyFont="1" applyFill="1"/>
    <xf numFmtId="0" fontId="1" fillId="0" borderId="0" xfId="0" applyFont="1" applyFill="1"/>
    <xf numFmtId="0" fontId="7" fillId="3" borderId="2" xfId="0" applyNumberFormat="1" applyFont="1" applyFill="1" applyBorder="1" applyAlignment="1" applyProtection="1">
      <alignment horizontal="left" vertical="center" wrapText="1"/>
    </xf>
    <xf numFmtId="0" fontId="8" fillId="7" borderId="0" xfId="0" applyFont="1" applyFill="1" applyBorder="1" applyAlignment="1">
      <alignment horizontal="left" vertical="top" wrapText="1"/>
    </xf>
    <xf numFmtId="0" fontId="2" fillId="8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8" fillId="8" borderId="0" xfId="0" applyFont="1" applyFill="1" applyBorder="1" applyAlignment="1">
      <alignment horizontal="left" vertical="top" wrapText="1"/>
    </xf>
    <xf numFmtId="0" fontId="2" fillId="8" borderId="0" xfId="0" applyFont="1" applyFill="1" applyBorder="1" applyAlignment="1" applyProtection="1">
      <alignment horizontal="left" vertical="top" wrapText="1"/>
      <protection locked="0"/>
    </xf>
    <xf numFmtId="0" fontId="2" fillId="9" borderId="0" xfId="0" applyFont="1" applyFill="1" applyBorder="1" applyAlignment="1">
      <alignment horizontal="left" vertical="top" wrapText="1"/>
    </xf>
    <xf numFmtId="0" fontId="9" fillId="4" borderId="0" xfId="0" applyFont="1" applyFill="1"/>
    <xf numFmtId="0" fontId="0" fillId="4" borderId="0" xfId="0" applyFill="1"/>
    <xf numFmtId="0" fontId="10" fillId="4" borderId="0" xfId="0" applyFont="1" applyFill="1"/>
    <xf numFmtId="0" fontId="11" fillId="3" borderId="0" xfId="0" applyFont="1" applyFill="1" applyAlignment="1">
      <alignment horizontal="left" vertical="top"/>
    </xf>
    <xf numFmtId="0" fontId="12" fillId="4" borderId="0" xfId="5" applyFont="1" applyFill="1" applyAlignment="1">
      <alignment horizontal="left" vertical="top"/>
    </xf>
    <xf numFmtId="165" fontId="12" fillId="4" borderId="0" xfId="2" applyNumberFormat="1" applyFont="1" applyFill="1" applyBorder="1" applyAlignment="1" applyProtection="1">
      <alignment horizontal="left" vertical="top"/>
    </xf>
    <xf numFmtId="0" fontId="4" fillId="4" borderId="0" xfId="0" applyFont="1" applyFill="1"/>
    <xf numFmtId="0" fontId="7" fillId="3" borderId="0" xfId="0" applyFont="1" applyFill="1" applyAlignment="1">
      <alignment horizontal="left" vertical="center"/>
    </xf>
    <xf numFmtId="0" fontId="2" fillId="8" borderId="0" xfId="0" applyFont="1" applyFill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5" fillId="3" borderId="0" xfId="0" applyNumberFormat="1" applyFont="1" applyFill="1" applyBorder="1" applyAlignment="1" applyProtection="1">
      <alignment vertical="top" wrapText="1"/>
    </xf>
    <xf numFmtId="0" fontId="7" fillId="3" borderId="19" xfId="1" applyNumberFormat="1" applyFont="1" applyFill="1" applyBorder="1" applyAlignment="1" applyProtection="1">
      <alignment horizontal="right" vertical="top" wrapText="1"/>
    </xf>
    <xf numFmtId="0" fontId="7" fillId="3" borderId="24" xfId="1" applyNumberFormat="1" applyFont="1" applyFill="1" applyBorder="1" applyAlignment="1" applyProtection="1">
      <alignment horizontal="right" vertical="top" wrapText="1"/>
    </xf>
    <xf numFmtId="0" fontId="7" fillId="3" borderId="25" xfId="1" applyNumberFormat="1" applyFont="1" applyFill="1" applyBorder="1" applyAlignment="1" applyProtection="1">
      <alignment horizontal="right" vertical="top" wrapText="1"/>
    </xf>
    <xf numFmtId="0" fontId="7" fillId="3" borderId="26" xfId="1" applyNumberFormat="1" applyFont="1" applyFill="1" applyBorder="1" applyAlignment="1" applyProtection="1">
      <alignment horizontal="right" vertical="top" wrapText="1"/>
    </xf>
    <xf numFmtId="0" fontId="7" fillId="3" borderId="27" xfId="4" applyNumberFormat="1" applyFont="1" applyFill="1" applyBorder="1" applyAlignment="1" applyProtection="1">
      <alignment horizontal="right" vertical="top" wrapText="1"/>
    </xf>
    <xf numFmtId="0" fontId="7" fillId="3" borderId="27" xfId="1" applyNumberFormat="1" applyFont="1" applyFill="1" applyBorder="1" applyAlignment="1" applyProtection="1">
      <alignment horizontal="right" vertical="top" wrapText="1"/>
    </xf>
    <xf numFmtId="0" fontId="7" fillId="3" borderId="28" xfId="4" applyNumberFormat="1" applyFont="1" applyFill="1" applyBorder="1" applyAlignment="1" applyProtection="1">
      <alignment horizontal="right" vertical="top" wrapText="1"/>
    </xf>
    <xf numFmtId="3" fontId="2" fillId="5" borderId="0" xfId="3" applyNumberFormat="1" applyFont="1" applyFill="1" applyBorder="1" applyAlignment="1" applyProtection="1">
      <alignment horizontal="left" vertical="center" wrapText="1"/>
    </xf>
    <xf numFmtId="0" fontId="7" fillId="3" borderId="1" xfId="0" applyNumberFormat="1" applyFont="1" applyFill="1" applyBorder="1" applyAlignment="1" applyProtection="1">
      <alignment horizontal="left" vertical="center" wrapText="1"/>
    </xf>
    <xf numFmtId="0" fontId="7" fillId="3" borderId="30" xfId="0" applyNumberFormat="1" applyFont="1" applyFill="1" applyBorder="1" applyAlignment="1" applyProtection="1">
      <alignment horizontal="left" vertical="center" wrapText="1"/>
    </xf>
    <xf numFmtId="0" fontId="9" fillId="4" borderId="0" xfId="0" applyFont="1" applyFill="1" applyAlignment="1">
      <alignment horizontal="left" vertical="top" wrapText="1"/>
    </xf>
    <xf numFmtId="0" fontId="7" fillId="3" borderId="11" xfId="0" applyNumberFormat="1" applyFont="1" applyFill="1" applyBorder="1" applyAlignment="1" applyProtection="1">
      <alignment horizontal="left" vertical="top" wrapText="1"/>
    </xf>
    <xf numFmtId="0" fontId="7" fillId="3" borderId="13" xfId="0" applyNumberFormat="1" applyFont="1" applyFill="1" applyBorder="1" applyAlignment="1" applyProtection="1">
      <alignment horizontal="left" vertical="top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3" borderId="4" xfId="0" applyNumberFormat="1" applyFont="1" applyFill="1" applyBorder="1" applyAlignment="1" applyProtection="1">
      <alignment horizontal="center" vertical="top" wrapText="1"/>
    </xf>
    <xf numFmtId="0" fontId="5" fillId="3" borderId="0" xfId="0" applyNumberFormat="1" applyFont="1" applyFill="1" applyBorder="1" applyAlignment="1" applyProtection="1">
      <alignment horizontal="center" vertical="top" wrapText="1"/>
    </xf>
    <xf numFmtId="0" fontId="5" fillId="0" borderId="18" xfId="0" applyNumberFormat="1" applyFont="1" applyFill="1" applyBorder="1" applyAlignment="1" applyProtection="1">
      <alignment horizontal="left" vertical="center" wrapText="1"/>
    </xf>
    <xf numFmtId="0" fontId="5" fillId="0" borderId="29" xfId="0" applyNumberFormat="1" applyFont="1" applyFill="1" applyBorder="1" applyAlignment="1" applyProtection="1">
      <alignment horizontal="left" vertical="center" wrapText="1"/>
    </xf>
    <xf numFmtId="0" fontId="11" fillId="6" borderId="9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center"/>
    </xf>
    <xf numFmtId="0" fontId="7" fillId="3" borderId="4" xfId="0" applyNumberFormat="1" applyFont="1" applyFill="1" applyBorder="1" applyAlignment="1" applyProtection="1">
      <alignment horizontal="left" vertical="top" wrapText="1"/>
    </xf>
    <xf numFmtId="0" fontId="7" fillId="3" borderId="3" xfId="0" applyNumberFormat="1" applyFont="1" applyFill="1" applyBorder="1" applyAlignment="1" applyProtection="1">
      <alignment horizontal="left" vertical="top" wrapText="1"/>
    </xf>
    <xf numFmtId="0" fontId="7" fillId="3" borderId="20" xfId="0" applyNumberFormat="1" applyFont="1" applyFill="1" applyBorder="1" applyAlignment="1" applyProtection="1">
      <alignment horizontal="left" vertical="top" wrapText="1"/>
    </xf>
    <xf numFmtId="0" fontId="7" fillId="3" borderId="0" xfId="0" applyNumberFormat="1" applyFont="1" applyFill="1" applyBorder="1" applyAlignment="1" applyProtection="1">
      <alignment horizontal="left" vertical="top" wrapText="1"/>
    </xf>
    <xf numFmtId="0" fontId="7" fillId="3" borderId="2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left" vertical="center" wrapText="1"/>
    </xf>
    <xf numFmtId="3" fontId="2" fillId="4" borderId="4" xfId="3" applyNumberFormat="1" applyFont="1" applyFill="1" applyBorder="1" applyAlignment="1" applyProtection="1">
      <alignment horizontal="right" vertical="center" wrapText="1"/>
    </xf>
    <xf numFmtId="169" fontId="2" fillId="4" borderId="6" xfId="3" applyNumberFormat="1" applyFont="1" applyFill="1" applyBorder="1" applyAlignment="1" applyProtection="1">
      <alignment horizontal="right" vertical="center" wrapText="1"/>
    </xf>
    <xf numFmtId="3" fontId="2" fillId="4" borderId="5" xfId="3" applyNumberFormat="1" applyFont="1" applyFill="1" applyBorder="1" applyAlignment="1" applyProtection="1">
      <alignment horizontal="right" vertical="center" wrapText="1"/>
    </xf>
    <xf numFmtId="169" fontId="2" fillId="4" borderId="0" xfId="3" applyNumberFormat="1" applyFont="1" applyFill="1" applyBorder="1" applyAlignment="1" applyProtection="1">
      <alignment horizontal="right" vertical="center" wrapText="1"/>
    </xf>
    <xf numFmtId="3" fontId="2" fillId="4" borderId="6" xfId="3" applyNumberFormat="1" applyFont="1" applyFill="1" applyBorder="1" applyAlignment="1" applyProtection="1">
      <alignment horizontal="right" vertical="center" wrapText="1"/>
    </xf>
    <xf numFmtId="169" fontId="2" fillId="4" borderId="5" xfId="3" applyNumberFormat="1" applyFont="1" applyFill="1" applyBorder="1" applyAlignment="1" applyProtection="1">
      <alignment horizontal="right" vertical="center" wrapText="1"/>
    </xf>
    <xf numFmtId="3" fontId="2" fillId="4" borderId="0" xfId="3" applyNumberFormat="1" applyFont="1" applyFill="1" applyBorder="1" applyAlignment="1" applyProtection="1">
      <alignment horizontal="right" vertical="center" wrapText="1"/>
    </xf>
    <xf numFmtId="169" fontId="2" fillId="4" borderId="12" xfId="3" applyNumberFormat="1" applyFont="1" applyFill="1" applyBorder="1" applyAlignment="1" applyProtection="1">
      <alignment horizontal="right" vertical="center" wrapText="1"/>
    </xf>
    <xf numFmtId="171" fontId="2" fillId="4" borderId="0" xfId="3" applyNumberFormat="1" applyFont="1" applyFill="1" applyBorder="1" applyAlignment="1" applyProtection="1">
      <alignment horizontal="right" vertical="center" wrapText="1"/>
    </xf>
    <xf numFmtId="170" fontId="2" fillId="4" borderId="6" xfId="3" applyNumberFormat="1" applyFont="1" applyFill="1" applyBorder="1" applyAlignment="1" applyProtection="1">
      <alignment horizontal="right" vertical="center" wrapText="1"/>
    </xf>
    <xf numFmtId="3" fontId="2" fillId="5" borderId="4" xfId="3" applyNumberFormat="1" applyFont="1" applyFill="1" applyBorder="1" applyAlignment="1" applyProtection="1">
      <alignment horizontal="right" vertical="center" wrapText="1"/>
    </xf>
    <xf numFmtId="169" fontId="2" fillId="5" borderId="6" xfId="3" applyNumberFormat="1" applyFont="1" applyFill="1" applyBorder="1" applyAlignment="1" applyProtection="1">
      <alignment horizontal="right" vertical="center" wrapText="1"/>
    </xf>
    <xf numFmtId="3" fontId="2" fillId="5" borderId="5" xfId="3" applyNumberFormat="1" applyFont="1" applyFill="1" applyBorder="1" applyAlignment="1" applyProtection="1">
      <alignment horizontal="right" vertical="center" wrapText="1"/>
    </xf>
    <xf numFmtId="169" fontId="2" fillId="5" borderId="0" xfId="3" applyNumberFormat="1" applyFont="1" applyFill="1" applyBorder="1" applyAlignment="1" applyProtection="1">
      <alignment horizontal="right" vertical="center" wrapText="1"/>
    </xf>
    <xf numFmtId="3" fontId="2" fillId="5" borderId="6" xfId="3" applyNumberFormat="1" applyFont="1" applyFill="1" applyBorder="1" applyAlignment="1" applyProtection="1">
      <alignment horizontal="right" vertical="center" wrapText="1"/>
    </xf>
    <xf numFmtId="169" fontId="2" fillId="5" borderId="5" xfId="3" applyNumberFormat="1" applyFont="1" applyFill="1" applyBorder="1" applyAlignment="1" applyProtection="1">
      <alignment horizontal="right" vertical="center" wrapText="1"/>
    </xf>
    <xf numFmtId="3" fontId="2" fillId="5" borderId="0" xfId="3" applyNumberFormat="1" applyFont="1" applyFill="1" applyBorder="1" applyAlignment="1" applyProtection="1">
      <alignment horizontal="right" vertical="center" wrapText="1"/>
    </xf>
    <xf numFmtId="169" fontId="2" fillId="5" borderId="12" xfId="3" applyNumberFormat="1" applyFont="1" applyFill="1" applyBorder="1" applyAlignment="1" applyProtection="1">
      <alignment horizontal="right" vertical="center" wrapText="1"/>
    </xf>
    <xf numFmtId="3" fontId="2" fillId="4" borderId="16" xfId="3" applyNumberFormat="1" applyFont="1" applyFill="1" applyBorder="1" applyAlignment="1" applyProtection="1">
      <alignment horizontal="right" vertical="center" wrapText="1"/>
    </xf>
    <xf numFmtId="169" fontId="2" fillId="4" borderId="15" xfId="3" applyNumberFormat="1" applyFont="1" applyFill="1" applyBorder="1" applyAlignment="1" applyProtection="1">
      <alignment horizontal="right" vertical="center" wrapText="1"/>
    </xf>
    <xf numFmtId="3" fontId="2" fillId="4" borderId="14" xfId="3" applyNumberFormat="1" applyFont="1" applyFill="1" applyBorder="1" applyAlignment="1" applyProtection="1">
      <alignment horizontal="right" vertical="center" wrapText="1"/>
    </xf>
    <xf numFmtId="169" fontId="2" fillId="4" borderId="2" xfId="3" applyNumberFormat="1" applyFont="1" applyFill="1" applyBorder="1" applyAlignment="1" applyProtection="1">
      <alignment horizontal="right" vertical="center" wrapText="1"/>
    </xf>
    <xf numFmtId="3" fontId="2" fillId="4" borderId="15" xfId="3" applyNumberFormat="1" applyFont="1" applyFill="1" applyBorder="1" applyAlignment="1" applyProtection="1">
      <alignment horizontal="right" vertical="center" wrapText="1"/>
    </xf>
    <xf numFmtId="169" fontId="2" fillId="4" borderId="14" xfId="3" applyNumberFormat="1" applyFont="1" applyFill="1" applyBorder="1" applyAlignment="1" applyProtection="1">
      <alignment horizontal="right" vertical="center" wrapText="1"/>
    </xf>
    <xf numFmtId="3" fontId="2" fillId="4" borderId="2" xfId="3" applyNumberFormat="1" applyFont="1" applyFill="1" applyBorder="1" applyAlignment="1" applyProtection="1">
      <alignment horizontal="right" vertical="center" wrapText="1"/>
    </xf>
    <xf numFmtId="169" fontId="2" fillId="4" borderId="17" xfId="3" applyNumberFormat="1" applyFont="1" applyFill="1" applyBorder="1" applyAlignment="1" applyProtection="1">
      <alignment horizontal="right" vertical="center" wrapText="1"/>
    </xf>
    <xf numFmtId="167" fontId="8" fillId="4" borderId="35" xfId="3" applyNumberFormat="1" applyFont="1" applyFill="1" applyBorder="1" applyAlignment="1" applyProtection="1">
      <alignment horizontal="right" vertical="center" wrapText="1"/>
    </xf>
    <xf numFmtId="169" fontId="8" fillId="4" borderId="36" xfId="3" applyNumberFormat="1" applyFont="1" applyFill="1" applyBorder="1" applyAlignment="1" applyProtection="1">
      <alignment horizontal="right" vertical="center" wrapText="1"/>
    </xf>
    <xf numFmtId="167" fontId="8" fillId="4" borderId="37" xfId="3" applyNumberFormat="1" applyFont="1" applyFill="1" applyBorder="1" applyAlignment="1" applyProtection="1">
      <alignment horizontal="right" vertical="center" wrapText="1"/>
    </xf>
    <xf numFmtId="169" fontId="8" fillId="4" borderId="38" xfId="3" applyNumberFormat="1" applyFont="1" applyFill="1" applyBorder="1" applyAlignment="1" applyProtection="1">
      <alignment horizontal="right" vertical="center" wrapText="1"/>
    </xf>
    <xf numFmtId="167" fontId="8" fillId="4" borderId="36" xfId="3" applyNumberFormat="1" applyFont="1" applyFill="1" applyBorder="1" applyAlignment="1" applyProtection="1">
      <alignment horizontal="right" vertical="center" wrapText="1"/>
    </xf>
    <xf numFmtId="169" fontId="8" fillId="4" borderId="37" xfId="3" applyNumberFormat="1" applyFont="1" applyFill="1" applyBorder="1" applyAlignment="1" applyProtection="1">
      <alignment horizontal="right" vertical="center" wrapText="1"/>
    </xf>
    <xf numFmtId="167" fontId="8" fillId="4" borderId="38" xfId="3" applyNumberFormat="1" applyFont="1" applyFill="1" applyBorder="1" applyAlignment="1" applyProtection="1">
      <alignment horizontal="right" vertical="center" wrapText="1"/>
    </xf>
    <xf numFmtId="169" fontId="8" fillId="4" borderId="39" xfId="3" applyNumberFormat="1" applyFont="1" applyFill="1" applyBorder="1" applyAlignment="1" applyProtection="1">
      <alignment horizontal="right" vertical="center" wrapText="1"/>
    </xf>
    <xf numFmtId="169" fontId="2" fillId="4" borderId="33" xfId="3" applyNumberFormat="1" applyFont="1" applyFill="1" applyBorder="1" applyAlignment="1" applyProtection="1">
      <alignment horizontal="right" vertical="center" wrapText="1"/>
    </xf>
    <xf numFmtId="169" fontId="2" fillId="4" borderId="31" xfId="3" applyNumberFormat="1" applyFont="1" applyFill="1" applyBorder="1" applyAlignment="1" applyProtection="1">
      <alignment horizontal="right" vertical="center" wrapText="1"/>
    </xf>
    <xf numFmtId="172" fontId="2" fillId="4" borderId="5" xfId="3" applyNumberFormat="1" applyFont="1" applyFill="1" applyBorder="1" applyAlignment="1" applyProtection="1">
      <alignment horizontal="right" vertical="center" wrapText="1"/>
    </xf>
    <xf numFmtId="170" fontId="2" fillId="4" borderId="33" xfId="3" applyNumberFormat="1" applyFont="1" applyFill="1" applyBorder="1" applyAlignment="1" applyProtection="1">
      <alignment horizontal="right" vertical="center" wrapText="1"/>
    </xf>
    <xf numFmtId="171" fontId="2" fillId="4" borderId="4" xfId="3" applyNumberFormat="1" applyFont="1" applyFill="1" applyBorder="1" applyAlignment="1" applyProtection="1">
      <alignment horizontal="right" vertical="center" wrapText="1"/>
    </xf>
    <xf numFmtId="171" fontId="2" fillId="4" borderId="5" xfId="3" applyNumberFormat="1" applyFont="1" applyFill="1" applyBorder="1" applyAlignment="1" applyProtection="1">
      <alignment horizontal="right" vertical="center" wrapText="1"/>
    </xf>
    <xf numFmtId="170" fontId="2" fillId="4" borderId="31" xfId="3" applyNumberFormat="1" applyFont="1" applyFill="1" applyBorder="1" applyAlignment="1" applyProtection="1">
      <alignment horizontal="right" vertical="center" wrapText="1"/>
    </xf>
    <xf numFmtId="172" fontId="2" fillId="4" borderId="4" xfId="3" applyNumberFormat="1" applyFont="1" applyFill="1" applyBorder="1" applyAlignment="1" applyProtection="1">
      <alignment horizontal="right" vertical="center" wrapText="1"/>
    </xf>
    <xf numFmtId="169" fontId="2" fillId="4" borderId="34" xfId="3" applyNumberFormat="1" applyFont="1" applyFill="1" applyBorder="1" applyAlignment="1" applyProtection="1">
      <alignment horizontal="right" vertical="center" wrapText="1"/>
    </xf>
    <xf numFmtId="169" fontId="2" fillId="4" borderId="32" xfId="3" applyNumberFormat="1" applyFont="1" applyFill="1" applyBorder="1" applyAlignment="1" applyProtection="1">
      <alignment horizontal="right" vertical="center" wrapText="1"/>
    </xf>
    <xf numFmtId="169" fontId="8" fillId="4" borderId="40" xfId="3" applyNumberFormat="1" applyFont="1" applyFill="1" applyBorder="1" applyAlignment="1" applyProtection="1">
      <alignment horizontal="right" vertical="center" wrapText="1"/>
    </xf>
    <xf numFmtId="169" fontId="8" fillId="4" borderId="41" xfId="3" applyNumberFormat="1" applyFont="1" applyFill="1" applyBorder="1" applyAlignment="1" applyProtection="1">
      <alignment horizontal="right" vertical="center" wrapText="1"/>
    </xf>
    <xf numFmtId="3" fontId="2" fillId="4" borderId="20" xfId="3" applyNumberFormat="1" applyFont="1" applyFill="1" applyBorder="1" applyAlignment="1" applyProtection="1">
      <alignment horizontal="right" vertical="center" wrapText="1"/>
    </xf>
    <xf numFmtId="169" fontId="2" fillId="4" borderId="42" xfId="3" applyNumberFormat="1" applyFont="1" applyFill="1" applyBorder="1" applyAlignment="1" applyProtection="1">
      <alignment horizontal="right" vertical="center" wrapText="1"/>
    </xf>
    <xf numFmtId="3" fontId="2" fillId="4" borderId="43" xfId="3" applyNumberFormat="1" applyFont="1" applyFill="1" applyBorder="1" applyAlignment="1" applyProtection="1">
      <alignment horizontal="right" vertical="center" wrapText="1"/>
    </xf>
    <xf numFmtId="169" fontId="2" fillId="4" borderId="44" xfId="3" applyNumberFormat="1" applyFont="1" applyFill="1" applyBorder="1" applyAlignment="1" applyProtection="1">
      <alignment horizontal="right" vertical="center" wrapText="1"/>
    </xf>
    <xf numFmtId="169" fontId="2" fillId="4" borderId="45" xfId="3" applyNumberFormat="1" applyFont="1" applyFill="1" applyBorder="1" applyAlignment="1" applyProtection="1">
      <alignment horizontal="right" vertical="center" wrapText="1"/>
    </xf>
    <xf numFmtId="171" fontId="2" fillId="4" borderId="20" xfId="3" applyNumberFormat="1" applyFont="1" applyFill="1" applyBorder="1" applyAlignment="1" applyProtection="1">
      <alignment horizontal="right" vertical="center" wrapText="1"/>
    </xf>
    <xf numFmtId="170" fontId="2" fillId="4" borderId="42" xfId="3" applyNumberFormat="1" applyFont="1" applyFill="1" applyBorder="1" applyAlignment="1" applyProtection="1">
      <alignment horizontal="right" vertical="center" wrapText="1"/>
    </xf>
    <xf numFmtId="171" fontId="2" fillId="4" borderId="43" xfId="3" applyNumberFormat="1" applyFont="1" applyFill="1" applyBorder="1" applyAlignment="1" applyProtection="1">
      <alignment horizontal="right" vertical="center" wrapText="1"/>
    </xf>
    <xf numFmtId="170" fontId="2" fillId="4" borderId="44" xfId="3" applyNumberFormat="1" applyFont="1" applyFill="1" applyBorder="1" applyAlignment="1" applyProtection="1">
      <alignment horizontal="right" vertical="center" wrapText="1"/>
    </xf>
  </cellXfs>
  <cellStyles count="10">
    <cellStyle name="Komma" xfId="1" builtinId="3"/>
    <cellStyle name="Komma 2" xfId="2"/>
    <cellStyle name="Komma 3" xfId="3"/>
    <cellStyle name="Prozent" xfId="4" builtinId="5"/>
    <cellStyle name="Standard" xfId="0" builtinId="0"/>
    <cellStyle name="Standard 2" xfId="5"/>
    <cellStyle name="Standard 2 2" xfId="8"/>
    <cellStyle name="Standard 3" xfId="6"/>
    <cellStyle name="Standard 4" xfId="7"/>
    <cellStyle name="Standard 4 2" xfId="9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358775</xdr:colOff>
      <xdr:row>5</xdr:row>
      <xdr:rowOff>4202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twoCellAnchor>
  <xdr:twoCellAnchor>
    <xdr:from>
      <xdr:col>5</xdr:col>
      <xdr:colOff>380999</xdr:colOff>
      <xdr:row>0</xdr:row>
      <xdr:rowOff>9524</xdr:rowOff>
    </xdr:from>
    <xdr:to>
      <xdr:col>8</xdr:col>
      <xdr:colOff>766424</xdr:colOff>
      <xdr:row>4</xdr:row>
      <xdr:rowOff>147524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991099" y="9524"/>
          <a:ext cx="2700000" cy="900000"/>
          <a:chOff x="6010275" y="133349"/>
          <a:chExt cx="1886537" cy="829778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49"/>
            <a:ext cx="1886537" cy="829778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1025" name="Option Button 1" hidden="1">
                  <a:extLst>
                    <a:ext uri="{63B3BB69-23CF-44E3-9099-C40C66FF867C}">
                      <a14:compatExt spid="_x0000_s1025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1026" name="Option Button 2" hidden="1">
                  <a:extLst>
                    <a:ext uri="{63B3BB69-23CF-44E3-9099-C40C66FF867C}">
                      <a14:compatExt spid="_x0000_s1026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1027" name="Option Button 3" hidden="1">
                  <a:extLst>
                    <a:ext uri="{63B3BB69-23CF-44E3-9099-C40C66FF867C}">
                      <a14:compatExt spid="_x0000_s1027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68875" cy="928127"/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28127"/>
        </a:xfrm>
        <a:prstGeom prst="rect">
          <a:avLst/>
        </a:prstGeom>
      </xdr:spPr>
    </xdr:pic>
    <xdr:clientData/>
  </xdr:oneCellAnchor>
  <xdr:twoCellAnchor>
    <xdr:from>
      <xdr:col>3</xdr:col>
      <xdr:colOff>323850</xdr:colOff>
      <xdr:row>0</xdr:row>
      <xdr:rowOff>9525</xdr:rowOff>
    </xdr:from>
    <xdr:to>
      <xdr:col>6</xdr:col>
      <xdr:colOff>252075</xdr:colOff>
      <xdr:row>4</xdr:row>
      <xdr:rowOff>147525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981575" y="9525"/>
          <a:ext cx="2700000" cy="900000"/>
          <a:chOff x="6010275" y="133350"/>
          <a:chExt cx="2047875" cy="819150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6010275" y="133350"/>
            <a:ext cx="2047875" cy="819150"/>
          </a:xfrm>
          <a:prstGeom prst="rect">
            <a:avLst/>
          </a:prstGeom>
          <a:grp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t"/>
          <a:lstStyle/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de-CH" sz="14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grpSp>
            <xdr:nvGrpSpPr>
              <xdr:cNvPr id="5" name="Gruppieren 4">
                <a:extLst>
                  <a:ext uri="{FF2B5EF4-FFF2-40B4-BE49-F238E27FC236}">
                    <a16:creationId xmlns:a16="http://schemas.microsoft.com/office/drawing/2014/main" id="{00000000-0008-0000-0000-000005000000}"/>
                  </a:ext>
                </a:extLst>
              </xdr:cNvPr>
              <xdr:cNvGrpSpPr/>
            </xdr:nvGrpSpPr>
            <xdr:grpSpPr>
              <a:xfrm>
                <a:off x="6553200" y="374273"/>
                <a:ext cx="1200152" cy="533405"/>
                <a:chOff x="6553200" y="374273"/>
                <a:chExt cx="1200152" cy="533405"/>
              </a:xfrm>
              <a:grpFill/>
            </xdr:grpSpPr>
            <xdr:sp macro="" textlink="">
              <xdr:nvSpPr>
                <xdr:cNvPr id="2049" name="Option Button 1" hidden="1">
                  <a:extLst>
                    <a:ext uri="{63B3BB69-23CF-44E3-9099-C40C66FF867C}">
                      <a14:compatExt spid="_x0000_s2049"/>
                    </a:ext>
                    <a:ext uri="{FF2B5EF4-FFF2-40B4-BE49-F238E27FC236}">
                      <a16:creationId xmlns:a16="http://schemas.microsoft.com/office/drawing/2014/main" id="{00000000-0008-0000-0000-000001040000}"/>
                    </a:ext>
                  </a:extLst>
                </xdr:cNvPr>
                <xdr:cNvSpPr/>
              </xdr:nvSpPr>
              <xdr:spPr bwMode="auto">
                <a:xfrm>
                  <a:off x="6553200" y="374273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Deutsch</a:t>
                  </a:r>
                </a:p>
              </xdr:txBody>
            </xdr:sp>
            <xdr:sp macro="" textlink="">
              <xdr:nvSpPr>
                <xdr:cNvPr id="2050" name="Option Button 2" hidden="1">
                  <a:extLst>
                    <a:ext uri="{63B3BB69-23CF-44E3-9099-C40C66FF867C}">
                      <a14:compatExt spid="_x0000_s2050"/>
                    </a:ext>
                    <a:ext uri="{FF2B5EF4-FFF2-40B4-BE49-F238E27FC236}">
                      <a16:creationId xmlns:a16="http://schemas.microsoft.com/office/drawing/2014/main" id="{00000000-0008-0000-0000-000002040000}"/>
                    </a:ext>
                  </a:extLst>
                </xdr:cNvPr>
                <xdr:cNvSpPr/>
              </xdr:nvSpPr>
              <xdr:spPr bwMode="auto">
                <a:xfrm>
                  <a:off x="6553200" y="545727"/>
                  <a:ext cx="1200152" cy="190500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Rumantsch Grischun</a:t>
                  </a:r>
                </a:p>
              </xdr:txBody>
            </xdr:sp>
            <xdr:sp macro="" textlink="">
              <xdr:nvSpPr>
                <xdr:cNvPr id="2051" name="Option Button 3" hidden="1">
                  <a:extLst>
                    <a:ext uri="{63B3BB69-23CF-44E3-9099-C40C66FF867C}">
                      <a14:compatExt spid="_x0000_s2051"/>
                    </a:ext>
                    <a:ext uri="{FF2B5EF4-FFF2-40B4-BE49-F238E27FC236}">
                      <a16:creationId xmlns:a16="http://schemas.microsoft.com/office/drawing/2014/main" id="{00000000-0008-0000-0000-000003040000}"/>
                    </a:ext>
                  </a:extLst>
                </xdr:cNvPr>
                <xdr:cNvSpPr/>
              </xdr:nvSpPr>
              <xdr:spPr bwMode="auto">
                <a:xfrm>
                  <a:off x="6553200" y="698127"/>
                  <a:ext cx="895350" cy="209551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>
                      <a:solidFill>
                        <a:srgbClr val="FFFFFF" mc:Ignorable="a14" a14:legacySpreadsheetColorIndex="65"/>
                      </a:solidFill>
                    </a14:hiddenFill>
                  </a:ext>
                  <a:ext uri="{91240B29-F687-4F45-9708-019B960494DF}">
                    <a14:hiddenLine w="9525">
                      <a:solidFill>
                        <a:srgbClr val="000000" mc:Ignorable="a14" a14:legacySpreadsheetColorIndex="64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  <xdr:txBody>
                <a:bodyPr vertOverflow="clip" wrap="square" lIns="27432" tIns="18288" rIns="0" bIns="18288" anchor="ctr" upright="1"/>
                <a:lstStyle/>
                <a:p>
                  <a:pPr algn="l" rtl="0">
                    <a:defRPr sz="1000"/>
                  </a:pPr>
                  <a:r>
                    <a:rPr lang="de-CH" sz="800" b="0" i="0" u="none" strike="noStrike" baseline="0">
                      <a:solidFill>
                        <a:srgbClr val="000000"/>
                      </a:solidFill>
                      <a:latin typeface="Segoe UI"/>
                      <a:cs typeface="Segoe UI"/>
                    </a:rPr>
                    <a:t>Italiano</a:t>
                  </a:r>
                </a:p>
              </xdr:txBody>
            </xdr:sp>
          </xdr:grp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N51"/>
  <sheetViews>
    <sheetView showGridLines="0" tabSelected="1" zoomScaleNormal="100" workbookViewId="0"/>
  </sheetViews>
  <sheetFormatPr baseColWidth="10" defaultColWidth="11" defaultRowHeight="12.75" x14ac:dyDescent="0.2"/>
  <cols>
    <col min="1" max="1" width="11.5" style="3" customWidth="1"/>
    <col min="2" max="2" width="18.625" style="3" customWidth="1"/>
    <col min="3" max="3" width="10.125" style="3" customWidth="1"/>
    <col min="4" max="4" width="10.125" style="4" customWidth="1"/>
    <col min="5" max="5" width="10.125" style="5" customWidth="1"/>
    <col min="6" max="8" width="10.125" style="4" customWidth="1"/>
    <col min="9" max="14" width="10.125" style="3" customWidth="1"/>
    <col min="15" max="16384" width="11" style="3"/>
  </cols>
  <sheetData>
    <row r="1" spans="1:14" s="11" customFormat="1" x14ac:dyDescent="0.2"/>
    <row r="2" spans="1:14" s="11" customFormat="1" ht="15.75" x14ac:dyDescent="0.25">
      <c r="B2" s="20"/>
      <c r="C2" s="21"/>
      <c r="D2" s="21"/>
    </row>
    <row r="3" spans="1:14" s="11" customFormat="1" ht="15.75" x14ac:dyDescent="0.25">
      <c r="B3" s="20"/>
      <c r="C3" s="21"/>
      <c r="D3" s="21"/>
    </row>
    <row r="4" spans="1:14" s="11" customFormat="1" ht="15.75" x14ac:dyDescent="0.25">
      <c r="B4" s="20"/>
      <c r="C4" s="21"/>
      <c r="D4" s="21"/>
    </row>
    <row r="5" spans="1:14" s="11" customFormat="1" x14ac:dyDescent="0.2"/>
    <row r="6" spans="1:14" s="11" customFormat="1" x14ac:dyDescent="0.2"/>
    <row r="7" spans="1:14" s="11" customFormat="1" ht="15.75" customHeight="1" x14ac:dyDescent="0.2">
      <c r="A7" s="41" t="str">
        <f>VLOOKUP("&lt;Fachbereich&gt;",Uebersetzungen!$B$3:$E$194,Uebersetzungen!$B$2+1,FALSE)</f>
        <v>Daten &amp; Statistik</v>
      </c>
      <c r="B7" s="41"/>
      <c r="C7" s="22"/>
      <c r="D7" s="22"/>
      <c r="E7" s="22"/>
      <c r="F7" s="22"/>
      <c r="G7" s="22"/>
      <c r="H7" s="22"/>
    </row>
    <row r="8" spans="1:14" s="11" customFormat="1" x14ac:dyDescent="0.2"/>
    <row r="9" spans="1:14" s="26" customFormat="1" ht="18" x14ac:dyDescent="0.2">
      <c r="A9" s="23" t="str">
        <f>VLOOKUP("&lt;Titel&gt;",Uebersetzungen!$B$3:$E$194,Uebersetzungen!$B$2+1,FALSE)</f>
        <v>Höchste abgeschlossene Ausbildung nach Kanton</v>
      </c>
      <c r="B9" s="24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6" customFormat="1" ht="15" x14ac:dyDescent="0.2">
      <c r="A10" s="27" t="str">
        <f>VLOOKUP("&lt;UTitel&gt;",Uebersetzungen!$B$3:$E$194,Uebersetzungen!$B$2+1,FALSE)</f>
        <v>Ständige Wohnbevölkerung ab 25 Jahren</v>
      </c>
      <c r="B10" s="24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6" customFormat="1" ht="15.75" thickBot="1" x14ac:dyDescent="0.25">
      <c r="A11" s="27"/>
      <c r="B11" s="24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ht="18.75" thickBot="1" x14ac:dyDescent="0.3">
      <c r="C12" s="51">
        <v>2023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</row>
    <row r="13" spans="1:14" ht="50.25" customHeight="1" thickBot="1" x14ac:dyDescent="0.25">
      <c r="A13" s="47"/>
      <c r="B13" s="48"/>
      <c r="C13" s="44" t="str">
        <f>VLOOKUP("&lt;SpaltenTitel_1&gt;",Uebersetzungen!$B$3:$E$194,Uebersetzungen!$B$2+1,FALSE)</f>
        <v>Total</v>
      </c>
      <c r="D13" s="45"/>
      <c r="E13" s="44" t="str">
        <f>VLOOKUP("&lt;SpaltenTitel_2&gt;",Uebersetzungen!$B$3:$E$194,Uebersetzungen!$B$2+1,FALSE)</f>
        <v>Ohne nachobligatorische Ausbildung</v>
      </c>
      <c r="F13" s="45"/>
      <c r="G13" s="44" t="str">
        <f>VLOOKUP("&lt;SpaltenTitel_3&gt;",Uebersetzungen!$B$3:$E$194,Uebersetzungen!$B$2+1,FALSE)</f>
        <v>Sekundarstufe II: Berufsbildung</v>
      </c>
      <c r="H13" s="45"/>
      <c r="I13" s="44" t="str">
        <f>VLOOKUP("&lt;SpaltenTitel_4&gt;",Uebersetzungen!$B$3:$E$194,Uebersetzungen!$B$2+1,FALSE)</f>
        <v>Sekundarstufe II: Allgemeinbildung</v>
      </c>
      <c r="J13" s="45"/>
      <c r="K13" s="44" t="str">
        <f>VLOOKUP("&lt;SpaltenTitel_5&gt;",Uebersetzungen!$B$3:$E$194,Uebersetzungen!$B$2+1,FALSE)</f>
        <v>Tertiärstufe: höhere Berufsbildung</v>
      </c>
      <c r="L13" s="45"/>
      <c r="M13" s="44" t="str">
        <f>VLOOKUP("&lt;SpaltenTitel_6&gt;",Uebersetzungen!$B$3:$E$194,Uebersetzungen!$B$2+1,FALSE)</f>
        <v>Tertiärstufe: Hochschulen</v>
      </c>
      <c r="N13" s="46"/>
    </row>
    <row r="14" spans="1:14" ht="40.5" customHeight="1" thickBot="1" x14ac:dyDescent="0.25">
      <c r="A14" s="47"/>
      <c r="B14" s="48"/>
      <c r="C14" s="31" t="str">
        <f>VLOOKUP("&lt;SpaltenTitel_1.1&gt;",Uebersetzungen!$B$3:$E$194,Uebersetzungen!$B$2+1,FALSE)</f>
        <v>Anzahl Personen</v>
      </c>
      <c r="D14" s="32" t="str">
        <f>VLOOKUP("&lt;SpaltenTitel_1.2&gt;",Uebersetzungen!$B$3:$E$194,Uebersetzungen!$B$2+1,FALSE)</f>
        <v>Vertrauens- intervall:          ± (in %)</v>
      </c>
      <c r="E14" s="32" t="str">
        <f>VLOOKUP("&lt;SpaltenTitel_1.1&gt;",Uebersetzungen!$B$3:$E$194,Uebersetzungen!$B$2+1,FALSE)</f>
        <v>Anzahl Personen</v>
      </c>
      <c r="F14" s="32" t="str">
        <f>VLOOKUP("&lt;SpaltenTitel_1.2&gt;",Uebersetzungen!$B$3:$E$194,Uebersetzungen!$B$2+1,FALSE)</f>
        <v>Vertrauens- intervall:          ± (in %)</v>
      </c>
      <c r="G14" s="32" t="str">
        <f>VLOOKUP("&lt;SpaltenTitel_1.1&gt;",Uebersetzungen!$B$3:$E$194,Uebersetzungen!$B$2+1,FALSE)</f>
        <v>Anzahl Personen</v>
      </c>
      <c r="H14" s="32" t="str">
        <f>VLOOKUP("&lt;SpaltenTitel_1.2&gt;",Uebersetzungen!$B$3:$E$194,Uebersetzungen!$B$2+1,FALSE)</f>
        <v>Vertrauens- intervall:          ± (in %)</v>
      </c>
      <c r="I14" s="32" t="str">
        <f>VLOOKUP("&lt;SpaltenTitel_1.1&gt;",Uebersetzungen!$B$3:$E$194,Uebersetzungen!$B$2+1,FALSE)</f>
        <v>Anzahl Personen</v>
      </c>
      <c r="J14" s="32" t="str">
        <f>VLOOKUP("&lt;SpaltenTitel_1.2&gt;",Uebersetzungen!$B$3:$E$194,Uebersetzungen!$B$2+1,FALSE)</f>
        <v>Vertrauens- intervall:          ± (in %)</v>
      </c>
      <c r="K14" s="32" t="str">
        <f>VLOOKUP("&lt;SpaltenTitel_1.1&gt;",Uebersetzungen!$B$3:$E$194,Uebersetzungen!$B$2+1,FALSE)</f>
        <v>Anzahl Personen</v>
      </c>
      <c r="L14" s="32" t="str">
        <f>VLOOKUP("&lt;SpaltenTitel_1.2&gt;",Uebersetzungen!$B$3:$E$194,Uebersetzungen!$B$2+1,FALSE)</f>
        <v>Vertrauens- intervall:          ± (in %)</v>
      </c>
      <c r="M14" s="32" t="str">
        <f>VLOOKUP("&lt;SpaltenTitel_1.1&gt;",Uebersetzungen!$B$3:$E$194,Uebersetzungen!$B$2+1,FALSE)</f>
        <v>Anzahl Personen</v>
      </c>
      <c r="N14" s="33" t="str">
        <f>VLOOKUP("&lt;SpaltenTitel_1.2&gt;",Uebersetzungen!$B$3:$E$194,Uebersetzungen!$B$2+1,FALSE)</f>
        <v>Vertrauens- intervall:          ± (in %)</v>
      </c>
    </row>
    <row r="15" spans="1:14" ht="13.9" customHeight="1" x14ac:dyDescent="0.2">
      <c r="A15" s="49" t="str">
        <f>VLOOKUP("&lt;Zeilentitel_1&gt;",Uebersetzungen!$B$3:$E$193,Uebersetzungen!$B$2+1,FALSE)</f>
        <v>Total</v>
      </c>
      <c r="B15" s="50"/>
      <c r="C15" s="86">
        <v>6537687.9999999795</v>
      </c>
      <c r="D15" s="87">
        <v>0.14284640710129923</v>
      </c>
      <c r="E15" s="88">
        <v>1096812.7469983469</v>
      </c>
      <c r="F15" s="89">
        <v>0.94227088392124758</v>
      </c>
      <c r="G15" s="90">
        <v>2084369.093310636</v>
      </c>
      <c r="H15" s="91">
        <v>0.61046755413187881</v>
      </c>
      <c r="I15" s="92">
        <v>606091.7914138292</v>
      </c>
      <c r="J15" s="87">
        <v>1.2902463996695637</v>
      </c>
      <c r="K15" s="88">
        <v>1110698.7848860177</v>
      </c>
      <c r="L15" s="89">
        <v>0.90482525174125128</v>
      </c>
      <c r="M15" s="88">
        <v>1639715.5833911502</v>
      </c>
      <c r="N15" s="93">
        <v>0.69969245015418013</v>
      </c>
    </row>
    <row r="16" spans="1:14" x14ac:dyDescent="0.2">
      <c r="A16" s="42" t="str">
        <f>VLOOKUP("&lt;Zeilentitel_2&gt;",Uebersetzungen!$B$3:$E$193,Uebersetzungen!$B$2+1,FALSE)</f>
        <v>Kanton</v>
      </c>
      <c r="B16" s="10" t="str">
        <f>VLOOKUP("&lt;Zeilentitel_2.1&gt;",Uebersetzungen!$B$3:$E$193,Uebersetzungen!$B$2+1,FALSE)</f>
        <v>Zürich</v>
      </c>
      <c r="C16" s="60">
        <v>1183392.0000000016</v>
      </c>
      <c r="D16" s="61">
        <v>0.36163157555159353</v>
      </c>
      <c r="E16" s="62">
        <v>161330.63692213362</v>
      </c>
      <c r="F16" s="63">
        <v>2.8046874891444111</v>
      </c>
      <c r="G16" s="64">
        <v>311126.0225239931</v>
      </c>
      <c r="H16" s="65">
        <v>1.7979338761041614</v>
      </c>
      <c r="I16" s="66">
        <v>101716.76283747947</v>
      </c>
      <c r="J16" s="61">
        <v>3.55334913204182</v>
      </c>
      <c r="K16" s="62">
        <v>210428.26210745153</v>
      </c>
      <c r="L16" s="63">
        <v>2.2619553287601812</v>
      </c>
      <c r="M16" s="62">
        <v>398790.31560894393</v>
      </c>
      <c r="N16" s="67">
        <v>1.4932361046369582</v>
      </c>
    </row>
    <row r="17" spans="1:14" x14ac:dyDescent="0.2">
      <c r="A17" s="42"/>
      <c r="B17" s="10" t="str">
        <f>VLOOKUP("&lt;Zeilentitel_2.2&gt;",Uebersetzungen!$B$3:$E$193,Uebersetzungen!$B$2+1,FALSE)</f>
        <v>Bern</v>
      </c>
      <c r="C17" s="60">
        <v>788718.00000000629</v>
      </c>
      <c r="D17" s="61">
        <v>0.43935515610114328</v>
      </c>
      <c r="E17" s="62">
        <v>118841.08111698722</v>
      </c>
      <c r="F17" s="63">
        <v>3.1607300804456568</v>
      </c>
      <c r="G17" s="64">
        <v>288990.66860914166</v>
      </c>
      <c r="H17" s="65">
        <v>1.7339319144258827</v>
      </c>
      <c r="I17" s="66">
        <v>63003.660831446112</v>
      </c>
      <c r="J17" s="61">
        <v>4.4560586572388408</v>
      </c>
      <c r="K17" s="62">
        <v>160333.96976593751</v>
      </c>
      <c r="L17" s="63">
        <v>2.5378012241382542</v>
      </c>
      <c r="M17" s="62">
        <v>157548.61967649386</v>
      </c>
      <c r="N17" s="67">
        <v>2.5583879005958412</v>
      </c>
    </row>
    <row r="18" spans="1:14" x14ac:dyDescent="0.2">
      <c r="A18" s="42"/>
      <c r="B18" s="10" t="str">
        <f>VLOOKUP("&lt;Zeilentitel_2.3&gt;",Uebersetzungen!$B$3:$E$193,Uebersetzungen!$B$2+1,FALSE)</f>
        <v>Luzern</v>
      </c>
      <c r="C18" s="60">
        <v>315246.99999999284</v>
      </c>
      <c r="D18" s="61">
        <v>0.51058271327507021</v>
      </c>
      <c r="E18" s="62">
        <v>49571.150877554937</v>
      </c>
      <c r="F18" s="63">
        <v>3.4817711120537576</v>
      </c>
      <c r="G18" s="64">
        <v>107396.13362460554</v>
      </c>
      <c r="H18" s="65">
        <v>2.0578323772005005</v>
      </c>
      <c r="I18" s="66">
        <v>25905.312292490518</v>
      </c>
      <c r="J18" s="61">
        <v>4.9516480689208198</v>
      </c>
      <c r="K18" s="62">
        <v>70795.231584617679</v>
      </c>
      <c r="L18" s="63">
        <v>2.6694353228181256</v>
      </c>
      <c r="M18" s="62">
        <v>61579.171620724162</v>
      </c>
      <c r="N18" s="67">
        <v>2.9672237872542544</v>
      </c>
    </row>
    <row r="19" spans="1:14" x14ac:dyDescent="0.2">
      <c r="A19" s="42"/>
      <c r="B19" s="10" t="str">
        <f>VLOOKUP("&lt;Zeilentitel_2.4&gt;",Uebersetzungen!$B$3:$E$193,Uebersetzungen!$B$2+1,FALSE)</f>
        <v>Uri</v>
      </c>
      <c r="C19" s="60">
        <v>27690.999999999945</v>
      </c>
      <c r="D19" s="61">
        <v>2.7912859707987674</v>
      </c>
      <c r="E19" s="62">
        <v>5627.9539513768204</v>
      </c>
      <c r="F19" s="63">
        <v>14.022340318077038</v>
      </c>
      <c r="G19" s="64">
        <v>10725.195068673282</v>
      </c>
      <c r="H19" s="65">
        <v>9.2825498457326265</v>
      </c>
      <c r="I19" s="66">
        <v>1929.0065346360852</v>
      </c>
      <c r="J19" s="61">
        <v>25.498925125052338</v>
      </c>
      <c r="K19" s="62">
        <v>5514.3261104743242</v>
      </c>
      <c r="L19" s="63">
        <v>14.110903232216012</v>
      </c>
      <c r="M19" s="62">
        <v>3894.5183348394307</v>
      </c>
      <c r="N19" s="67">
        <v>18.648084475175157</v>
      </c>
    </row>
    <row r="20" spans="1:14" x14ac:dyDescent="0.2">
      <c r="A20" s="42"/>
      <c r="B20" s="10" t="str">
        <f>VLOOKUP("&lt;Zeilentitel_2.5&gt;",Uebersetzungen!$B$3:$E$193,Uebersetzungen!$B$2+1,FALSE)</f>
        <v>Schwyz</v>
      </c>
      <c r="C20" s="60">
        <v>124768.99999999965</v>
      </c>
      <c r="D20" s="61">
        <v>1.0903559265002869</v>
      </c>
      <c r="E20" s="62">
        <v>19785.585527789091</v>
      </c>
      <c r="F20" s="63">
        <v>7.791383164305973</v>
      </c>
      <c r="G20" s="64">
        <v>42523.811693426251</v>
      </c>
      <c r="H20" s="65">
        <v>4.663520108941194</v>
      </c>
      <c r="I20" s="66">
        <v>9600.6517412764479</v>
      </c>
      <c r="J20" s="61">
        <v>11.551193173749555</v>
      </c>
      <c r="K20" s="62">
        <v>25712.072241591242</v>
      </c>
      <c r="L20" s="63">
        <v>6.3339431264213983</v>
      </c>
      <c r="M20" s="62">
        <v>27146.878795916615</v>
      </c>
      <c r="N20" s="67">
        <v>6.2166506090187985</v>
      </c>
    </row>
    <row r="21" spans="1:14" x14ac:dyDescent="0.2">
      <c r="A21" s="42"/>
      <c r="B21" s="10" t="str">
        <f>VLOOKUP("&lt;Zeilentitel_2.6&gt;",Uebersetzungen!$B$3:$E$193,Uebersetzungen!$B$2+1,FALSE)</f>
        <v>Obwalden</v>
      </c>
      <c r="C21" s="60">
        <v>28945.00000000008</v>
      </c>
      <c r="D21" s="61">
        <v>2.2991453445602144</v>
      </c>
      <c r="E21" s="62">
        <v>4724.5000654045125</v>
      </c>
      <c r="F21" s="63">
        <v>15.322898845844609</v>
      </c>
      <c r="G21" s="64">
        <v>11035.461677609041</v>
      </c>
      <c r="H21" s="65">
        <v>8.6484801360079917</v>
      </c>
      <c r="I21" s="66">
        <v>1855.7532030054861</v>
      </c>
      <c r="J21" s="61">
        <v>25.670109295531386</v>
      </c>
      <c r="K21" s="62">
        <v>7023.0487818634638</v>
      </c>
      <c r="L21" s="63">
        <v>11.671620877412812</v>
      </c>
      <c r="M21" s="62">
        <v>4306.2362721175796</v>
      </c>
      <c r="N21" s="67">
        <v>16.059100261215086</v>
      </c>
    </row>
    <row r="22" spans="1:14" x14ac:dyDescent="0.2">
      <c r="A22" s="42"/>
      <c r="B22" s="10" t="str">
        <f>VLOOKUP("&lt;Zeilentitel_2.7&gt;",Uebersetzungen!$B$3:$E$193,Uebersetzungen!$B$2+1,FALSE)</f>
        <v>Nidwalden</v>
      </c>
      <c r="C22" s="60">
        <v>34110.999999999891</v>
      </c>
      <c r="D22" s="61">
        <v>2.0529558020578982</v>
      </c>
      <c r="E22" s="62">
        <v>5281.1552881531261</v>
      </c>
      <c r="F22" s="63">
        <v>15.000304298615335</v>
      </c>
      <c r="G22" s="64">
        <v>12215.230048813897</v>
      </c>
      <c r="H22" s="65">
        <v>8.4988541956671924</v>
      </c>
      <c r="I22" s="66">
        <v>1837.2635517683425</v>
      </c>
      <c r="J22" s="61">
        <v>26.797042017095002</v>
      </c>
      <c r="K22" s="62">
        <v>8248.0590194216675</v>
      </c>
      <c r="L22" s="63">
        <v>10.923487063934418</v>
      </c>
      <c r="M22" s="62">
        <v>6529.2920918428599</v>
      </c>
      <c r="N22" s="67">
        <v>12.9513849190272</v>
      </c>
    </row>
    <row r="23" spans="1:14" x14ac:dyDescent="0.2">
      <c r="A23" s="42"/>
      <c r="B23" s="10" t="str">
        <f>VLOOKUP("&lt;Zeilentitel_2.8&gt;",Uebersetzungen!$B$3:$E$193,Uebersetzungen!$B$2+1,FALSE)</f>
        <v>Glarus</v>
      </c>
      <c r="C23" s="60">
        <v>31334.967581833767</v>
      </c>
      <c r="D23" s="61">
        <v>2.2361816845869718</v>
      </c>
      <c r="E23" s="62">
        <v>7103.735426826117</v>
      </c>
      <c r="F23" s="63">
        <v>12.70282294274176</v>
      </c>
      <c r="G23" s="64">
        <v>11294.940341855101</v>
      </c>
      <c r="H23" s="65">
        <v>9.2731862434991044</v>
      </c>
      <c r="I23" s="66">
        <v>2771.5422846273627</v>
      </c>
      <c r="J23" s="61">
        <v>21.700287046305171</v>
      </c>
      <c r="K23" s="62">
        <v>6201.7580489908187</v>
      </c>
      <c r="L23" s="63">
        <v>13.486031242295581</v>
      </c>
      <c r="M23" s="62">
        <v>3962.9914795343689</v>
      </c>
      <c r="N23" s="67">
        <v>17.873179086520459</v>
      </c>
    </row>
    <row r="24" spans="1:14" x14ac:dyDescent="0.2">
      <c r="A24" s="42"/>
      <c r="B24" s="10" t="str">
        <f>VLOOKUP("&lt;Zeilentitel_2.9&gt;",Uebersetzungen!$B$3:$E$193,Uebersetzungen!$B$2+1,FALSE)</f>
        <v>Zug</v>
      </c>
      <c r="C24" s="60">
        <v>97903.999999998428</v>
      </c>
      <c r="D24" s="61">
        <v>0.87322082103648924</v>
      </c>
      <c r="E24" s="62">
        <v>10893.225639790669</v>
      </c>
      <c r="F24" s="63">
        <v>7.472663937277269</v>
      </c>
      <c r="G24" s="64">
        <v>25606.05572152029</v>
      </c>
      <c r="H24" s="65">
        <v>4.3647196954479481</v>
      </c>
      <c r="I24" s="66">
        <v>7916.0839639405831</v>
      </c>
      <c r="J24" s="61">
        <v>8.7730012995496551</v>
      </c>
      <c r="K24" s="62">
        <v>19274.738347113809</v>
      </c>
      <c r="L24" s="63">
        <v>5.1445739872631151</v>
      </c>
      <c r="M24" s="62">
        <v>34213.896327633069</v>
      </c>
      <c r="N24" s="67">
        <v>3.6277175043360996</v>
      </c>
    </row>
    <row r="25" spans="1:14" x14ac:dyDescent="0.2">
      <c r="A25" s="42"/>
      <c r="B25" s="10" t="str">
        <f>VLOOKUP("&lt;Zeilentitel_2.10&gt;",Uebersetzungen!$B$3:$E$193,Uebersetzungen!$B$2+1,FALSE)</f>
        <v>Freiburg</v>
      </c>
      <c r="C25" s="60">
        <v>241560.99999999729</v>
      </c>
      <c r="D25" s="61">
        <v>0.89006839156633688</v>
      </c>
      <c r="E25" s="62">
        <v>48423.242937133618</v>
      </c>
      <c r="F25" s="63">
        <v>4.8792065547428942</v>
      </c>
      <c r="G25" s="64">
        <v>83538.488596884708</v>
      </c>
      <c r="H25" s="65">
        <v>3.3198120052907192</v>
      </c>
      <c r="I25" s="66">
        <v>20879.919873396015</v>
      </c>
      <c r="J25" s="61">
        <v>7.827064379766778</v>
      </c>
      <c r="K25" s="62">
        <v>31467.066356088777</v>
      </c>
      <c r="L25" s="63">
        <v>5.9760815088513013</v>
      </c>
      <c r="M25" s="62">
        <v>57252.28223649416</v>
      </c>
      <c r="N25" s="67">
        <v>4.2767927367669438</v>
      </c>
    </row>
    <row r="26" spans="1:14" x14ac:dyDescent="0.2">
      <c r="A26" s="42"/>
      <c r="B26" s="10" t="str">
        <f>VLOOKUP("&lt;Zeilentitel_2.11&gt;",Uebersetzungen!$B$3:$E$193,Uebersetzungen!$B$2+1,FALSE)</f>
        <v>Solothurn</v>
      </c>
      <c r="C26" s="60">
        <v>213037.00000000288</v>
      </c>
      <c r="D26" s="61">
        <v>0.84036586584433082</v>
      </c>
      <c r="E26" s="62">
        <v>36870.203922855551</v>
      </c>
      <c r="F26" s="63">
        <v>5.6215812292078651</v>
      </c>
      <c r="G26" s="64">
        <v>79385.560496250546</v>
      </c>
      <c r="H26" s="65">
        <v>3.304594438162014</v>
      </c>
      <c r="I26" s="66">
        <v>17920.949976530163</v>
      </c>
      <c r="J26" s="61">
        <v>8.4427155968401841</v>
      </c>
      <c r="K26" s="62">
        <v>45399.36072674334</v>
      </c>
      <c r="L26" s="63">
        <v>4.7675683799656907</v>
      </c>
      <c r="M26" s="62">
        <v>33460.924877623307</v>
      </c>
      <c r="N26" s="67">
        <v>5.7795816633707364</v>
      </c>
    </row>
    <row r="27" spans="1:14" x14ac:dyDescent="0.2">
      <c r="A27" s="42"/>
      <c r="B27" s="10" t="str">
        <f>VLOOKUP("&lt;Zeilentitel_2.12&gt;",Uebersetzungen!$B$3:$E$193,Uebersetzungen!$B$2+1,FALSE)</f>
        <v>Basel-Stadt</v>
      </c>
      <c r="C27" s="60">
        <v>150879.00000000247</v>
      </c>
      <c r="D27" s="61">
        <v>0.95209485547676032</v>
      </c>
      <c r="E27" s="62">
        <v>25350.591788025606</v>
      </c>
      <c r="F27" s="63">
        <v>6.9909174977394679</v>
      </c>
      <c r="G27" s="64">
        <v>30501.176724604127</v>
      </c>
      <c r="H27" s="65">
        <v>6.1116681362700644</v>
      </c>
      <c r="I27" s="66">
        <v>14245.448416060644</v>
      </c>
      <c r="J27" s="61">
        <v>9.5126140501577829</v>
      </c>
      <c r="K27" s="62">
        <v>19687.63748160009</v>
      </c>
      <c r="L27" s="63">
        <v>7.8026540605003936</v>
      </c>
      <c r="M27" s="62">
        <v>61094.14558971201</v>
      </c>
      <c r="N27" s="67">
        <v>3.7550602758246678</v>
      </c>
    </row>
    <row r="28" spans="1:14" x14ac:dyDescent="0.2">
      <c r="A28" s="42"/>
      <c r="B28" s="10" t="str">
        <f>VLOOKUP("&lt;Zeilentitel_2.13&gt;",Uebersetzungen!$B$3:$E$193,Uebersetzungen!$B$2+1,FALSE)</f>
        <v>Basel-Landschaft</v>
      </c>
      <c r="C28" s="60">
        <v>222157.00000000041</v>
      </c>
      <c r="D28" s="61">
        <v>0.84390014848168338</v>
      </c>
      <c r="E28" s="62">
        <v>32226.535276092283</v>
      </c>
      <c r="F28" s="63">
        <v>6.1448993516858126</v>
      </c>
      <c r="G28" s="64">
        <v>76999.139961940309</v>
      </c>
      <c r="H28" s="65">
        <v>3.4607996242405834</v>
      </c>
      <c r="I28" s="66">
        <v>18937.636100768756</v>
      </c>
      <c r="J28" s="61">
        <v>8.2815355712385497</v>
      </c>
      <c r="K28" s="62">
        <v>44001.480672655256</v>
      </c>
      <c r="L28" s="63">
        <v>4.8829706554189691</v>
      </c>
      <c r="M28" s="62">
        <v>49992.207988543814</v>
      </c>
      <c r="N28" s="67">
        <v>4.6206837286988858</v>
      </c>
    </row>
    <row r="29" spans="1:14" x14ac:dyDescent="0.2">
      <c r="A29" s="42"/>
      <c r="B29" s="10" t="str">
        <f>VLOOKUP("&lt;Zeilentitel_2.14&gt;",Uebersetzungen!$B$3:$E$193,Uebersetzungen!$B$2+1,FALSE)</f>
        <v>Schaffhausen</v>
      </c>
      <c r="C29" s="60">
        <v>64767.000000000437</v>
      </c>
      <c r="D29" s="61">
        <v>1.6523189313891613</v>
      </c>
      <c r="E29" s="62">
        <v>10257.186728846398</v>
      </c>
      <c r="F29" s="63">
        <v>10.928302158469318</v>
      </c>
      <c r="G29" s="64">
        <v>23734.771598286545</v>
      </c>
      <c r="H29" s="65">
        <v>6.3353106492406077</v>
      </c>
      <c r="I29" s="66">
        <v>6053.3557351966983</v>
      </c>
      <c r="J29" s="61">
        <v>14.79955921582777</v>
      </c>
      <c r="K29" s="62">
        <v>12101.34412863911</v>
      </c>
      <c r="L29" s="63">
        <v>9.5738579344076093</v>
      </c>
      <c r="M29" s="62">
        <v>12620.341809031681</v>
      </c>
      <c r="N29" s="67">
        <v>9.5994282880734865</v>
      </c>
    </row>
    <row r="30" spans="1:14" x14ac:dyDescent="0.2">
      <c r="A30" s="42"/>
      <c r="B30" s="10" t="str">
        <f>VLOOKUP("&lt;Zeilentitel_2.15&gt;",Uebersetzungen!$B$3:$E$193,Uebersetzungen!$B$2+1,FALSE)</f>
        <v>Appenzell Ausserrhoden</v>
      </c>
      <c r="C30" s="60">
        <v>41273.000000000095</v>
      </c>
      <c r="D30" s="61">
        <v>1.9661502900108172</v>
      </c>
      <c r="E30" s="62">
        <v>6449.8289630564841</v>
      </c>
      <c r="F30" s="63">
        <v>14.017873112408239</v>
      </c>
      <c r="G30" s="64">
        <v>15464.163992797849</v>
      </c>
      <c r="H30" s="65">
        <v>7.6786079421529463</v>
      </c>
      <c r="I30" s="66">
        <v>3227.6999927714369</v>
      </c>
      <c r="J30" s="61">
        <v>20.225277906890607</v>
      </c>
      <c r="K30" s="62">
        <v>8884.3276368062016</v>
      </c>
      <c r="L30" s="63">
        <v>10.848311183903167</v>
      </c>
      <c r="M30" s="62">
        <v>7246.9794145681235</v>
      </c>
      <c r="N30" s="67">
        <v>12.337219990430386</v>
      </c>
    </row>
    <row r="31" spans="1:14" x14ac:dyDescent="0.2">
      <c r="A31" s="42"/>
      <c r="B31" s="10" t="str">
        <f>VLOOKUP("&lt;Zeilentitel_2.16&gt;",Uebersetzungen!$B$3:$E$193,Uebersetzungen!$B$2+1,FALSE)</f>
        <v>Appenzell Innerrhoden</v>
      </c>
      <c r="C31" s="60">
        <v>11481.032418166184</v>
      </c>
      <c r="D31" s="61">
        <v>4.27257877644446</v>
      </c>
      <c r="E31" s="62">
        <v>1922.2732621164528</v>
      </c>
      <c r="F31" s="63">
        <v>24.165003522428123</v>
      </c>
      <c r="G31" s="64">
        <v>4446.7204024136809</v>
      </c>
      <c r="H31" s="65">
        <v>14.587794031753115</v>
      </c>
      <c r="I31" s="68">
        <v>663.28658240185405</v>
      </c>
      <c r="J31" s="69">
        <v>44.95204521410205</v>
      </c>
      <c r="K31" s="62">
        <v>2362.3922822618247</v>
      </c>
      <c r="L31" s="63">
        <v>22.64332991271921</v>
      </c>
      <c r="M31" s="62">
        <v>2086.3598889723721</v>
      </c>
      <c r="N31" s="67">
        <v>24.641059863835014</v>
      </c>
    </row>
    <row r="32" spans="1:14" x14ac:dyDescent="0.2">
      <c r="A32" s="42"/>
      <c r="B32" s="10" t="str">
        <f>VLOOKUP("&lt;Zeilentitel_2.17&gt;",Uebersetzungen!$B$3:$E$193,Uebersetzungen!$B$2+1,FALSE)</f>
        <v>St. Gallen</v>
      </c>
      <c r="C32" s="60">
        <v>388003.00000000576</v>
      </c>
      <c r="D32" s="61">
        <v>0.67076876364980142</v>
      </c>
      <c r="E32" s="62">
        <v>69431.958467785575</v>
      </c>
      <c r="F32" s="63">
        <v>4.2003988509301085</v>
      </c>
      <c r="G32" s="64">
        <v>139611.88503848406</v>
      </c>
      <c r="H32" s="65">
        <v>2.5795245169476346</v>
      </c>
      <c r="I32" s="66">
        <v>33018.622515462339</v>
      </c>
      <c r="J32" s="61">
        <v>6.254809862198659</v>
      </c>
      <c r="K32" s="62">
        <v>79122.695278987288</v>
      </c>
      <c r="L32" s="63">
        <v>3.6747754662455145</v>
      </c>
      <c r="M32" s="62">
        <v>66817.838699286498</v>
      </c>
      <c r="N32" s="67">
        <v>4.1049145726906131</v>
      </c>
    </row>
    <row r="33" spans="1:14" x14ac:dyDescent="0.2">
      <c r="A33" s="42"/>
      <c r="B33" s="38" t="str">
        <f>VLOOKUP("&lt;Zeilentitel_2.18&gt;",Uebersetzungen!$B$3:$E$193,Uebersetzungen!$B$2+1,FALSE)</f>
        <v>Graubünden</v>
      </c>
      <c r="C33" s="70">
        <v>155813.99999999721</v>
      </c>
      <c r="D33" s="71">
        <v>0.96378622151997762</v>
      </c>
      <c r="E33" s="72">
        <v>26736.900183936035</v>
      </c>
      <c r="F33" s="73">
        <v>6.5764938272828974</v>
      </c>
      <c r="G33" s="74">
        <v>55014.603866464269</v>
      </c>
      <c r="H33" s="75">
        <v>4.0238789025626511</v>
      </c>
      <c r="I33" s="76">
        <v>16019.103200672917</v>
      </c>
      <c r="J33" s="71">
        <v>8.7180351379067957</v>
      </c>
      <c r="K33" s="72">
        <v>31084.764566092555</v>
      </c>
      <c r="L33" s="73">
        <v>5.7979720527239094</v>
      </c>
      <c r="M33" s="72">
        <v>26958.628182831417</v>
      </c>
      <c r="N33" s="77">
        <v>6.3955521562891811</v>
      </c>
    </row>
    <row r="34" spans="1:14" x14ac:dyDescent="0.2">
      <c r="A34" s="42"/>
      <c r="B34" s="10" t="str">
        <f>VLOOKUP("&lt;Zeilentitel_2.19&gt;",Uebersetzungen!$B$3:$E$193,Uebersetzungen!$B$2+1,FALSE)</f>
        <v>Aargau</v>
      </c>
      <c r="C34" s="60">
        <v>533424.9999999901</v>
      </c>
      <c r="D34" s="61">
        <v>0.38601948932439351</v>
      </c>
      <c r="E34" s="62">
        <v>86199.173220354845</v>
      </c>
      <c r="F34" s="63">
        <v>2.6347396960994538</v>
      </c>
      <c r="G34" s="64">
        <v>186748.33580795664</v>
      </c>
      <c r="H34" s="65">
        <v>1.5488938212355805</v>
      </c>
      <c r="I34" s="66">
        <v>47224.288118974066</v>
      </c>
      <c r="J34" s="61">
        <v>3.6548832626616439</v>
      </c>
      <c r="K34" s="62">
        <v>112476.18177998063</v>
      </c>
      <c r="L34" s="63">
        <v>2.1238203053667912</v>
      </c>
      <c r="M34" s="62">
        <v>100777.02107272393</v>
      </c>
      <c r="N34" s="67">
        <v>2.3102021870094873</v>
      </c>
    </row>
    <row r="35" spans="1:14" x14ac:dyDescent="0.2">
      <c r="A35" s="42"/>
      <c r="B35" s="10" t="str">
        <f>VLOOKUP("&lt;Zeilentitel_2.20&gt;",Uebersetzungen!$B$3:$E$193,Uebersetzungen!$B$2+1,FALSE)</f>
        <v>Thurgau</v>
      </c>
      <c r="C35" s="60">
        <v>216625.99999999837</v>
      </c>
      <c r="D35" s="61">
        <v>0.89131725605180478</v>
      </c>
      <c r="E35" s="62">
        <v>33106.875049497408</v>
      </c>
      <c r="F35" s="63">
        <v>6.1821256665300393</v>
      </c>
      <c r="G35" s="64">
        <v>81474.244353311791</v>
      </c>
      <c r="H35" s="65">
        <v>3.3304630023245929</v>
      </c>
      <c r="I35" s="66">
        <v>19786.060643330013</v>
      </c>
      <c r="J35" s="61">
        <v>8.1766892463769079</v>
      </c>
      <c r="K35" s="62">
        <v>45790.002773925888</v>
      </c>
      <c r="L35" s="63">
        <v>4.83974988546459</v>
      </c>
      <c r="M35" s="62">
        <v>36468.817179933256</v>
      </c>
      <c r="N35" s="67">
        <v>5.633012691736031</v>
      </c>
    </row>
    <row r="36" spans="1:14" x14ac:dyDescent="0.2">
      <c r="A36" s="42"/>
      <c r="B36" s="10" t="str">
        <f>VLOOKUP("&lt;Zeilentitel_2.21&gt;",Uebersetzungen!$B$3:$E$193,Uebersetzungen!$B$2+1,FALSE)</f>
        <v>Ticino</v>
      </c>
      <c r="C36" s="60">
        <v>270349.00000000227</v>
      </c>
      <c r="D36" s="61">
        <v>0.52716486366442428</v>
      </c>
      <c r="E36" s="62">
        <v>51770.042919578838</v>
      </c>
      <c r="F36" s="63">
        <v>3.2656362250827846</v>
      </c>
      <c r="G36" s="64">
        <v>70128.391854260364</v>
      </c>
      <c r="H36" s="65">
        <v>2.6772254614897801</v>
      </c>
      <c r="I36" s="66">
        <v>55530.103248647501</v>
      </c>
      <c r="J36" s="61">
        <v>3.0992403855185766</v>
      </c>
      <c r="K36" s="62">
        <v>30436.752213328382</v>
      </c>
      <c r="L36" s="63">
        <v>4.3535766197743992</v>
      </c>
      <c r="M36" s="62">
        <v>62483.70976418721</v>
      </c>
      <c r="N36" s="67">
        <v>2.8828291997633357</v>
      </c>
    </row>
    <row r="37" spans="1:14" x14ac:dyDescent="0.2">
      <c r="A37" s="42"/>
      <c r="B37" s="10" t="str">
        <f>VLOOKUP("&lt;Zeilentitel_2.22&gt;",Uebersetzungen!$B$3:$E$193,Uebersetzungen!$B$2+1,FALSE)</f>
        <v>Vaud</v>
      </c>
      <c r="C37" s="60">
        <v>596168.99999999104</v>
      </c>
      <c r="D37" s="61">
        <v>0.38651194493661933</v>
      </c>
      <c r="E37" s="62">
        <v>112447.29954145939</v>
      </c>
      <c r="F37" s="63">
        <v>2.2625804424174176</v>
      </c>
      <c r="G37" s="64">
        <v>171782.38155368966</v>
      </c>
      <c r="H37" s="65">
        <v>1.6578737884456098</v>
      </c>
      <c r="I37" s="66">
        <v>56873.204841567909</v>
      </c>
      <c r="J37" s="61">
        <v>3.269424518584513</v>
      </c>
      <c r="K37" s="62">
        <v>57712.124120268621</v>
      </c>
      <c r="L37" s="63">
        <v>3.1433835546642142</v>
      </c>
      <c r="M37" s="62">
        <v>197353.98994300541</v>
      </c>
      <c r="N37" s="67">
        <v>1.516531493640735</v>
      </c>
    </row>
    <row r="38" spans="1:14" x14ac:dyDescent="0.2">
      <c r="A38" s="42"/>
      <c r="B38" s="10" t="str">
        <f>VLOOKUP("&lt;Zeilentitel_2.23&gt;",Uebersetzungen!$B$3:$E$193,Uebersetzungen!$B$2+1,FALSE)</f>
        <v>Wallis</v>
      </c>
      <c r="C38" s="60">
        <v>270401.99999999691</v>
      </c>
      <c r="D38" s="61">
        <v>0.77841831084154645</v>
      </c>
      <c r="E38" s="62">
        <v>59386.78713805561</v>
      </c>
      <c r="F38" s="63">
        <v>4.3690470314396084</v>
      </c>
      <c r="G38" s="64">
        <v>98856.261887014974</v>
      </c>
      <c r="H38" s="65">
        <v>2.9920843023414405</v>
      </c>
      <c r="I38" s="66">
        <v>26648.568406515613</v>
      </c>
      <c r="J38" s="61">
        <v>6.8360084876786091</v>
      </c>
      <c r="K38" s="62">
        <v>31290.109777944839</v>
      </c>
      <c r="L38" s="63">
        <v>6.088070696685973</v>
      </c>
      <c r="M38" s="62">
        <v>54220.272790465897</v>
      </c>
      <c r="N38" s="67">
        <v>4.5132349273247705</v>
      </c>
    </row>
    <row r="39" spans="1:14" x14ac:dyDescent="0.2">
      <c r="A39" s="42"/>
      <c r="B39" s="10" t="str">
        <f>VLOOKUP("&lt;Zeilentitel_2.24&gt;",Uebersetzungen!$B$3:$E$193,Uebersetzungen!$B$2+1,FALSE)</f>
        <v>Neuchâtel</v>
      </c>
      <c r="C39" s="60">
        <v>128688.99999999879</v>
      </c>
      <c r="D39" s="61">
        <v>0.81352213774553761</v>
      </c>
      <c r="E39" s="62">
        <v>27747.805338153121</v>
      </c>
      <c r="F39" s="63">
        <v>4.4372519354702638</v>
      </c>
      <c r="G39" s="64">
        <v>44869.858989039072</v>
      </c>
      <c r="H39" s="65">
        <v>3.1322559404856718</v>
      </c>
      <c r="I39" s="66">
        <v>11345.38897980107</v>
      </c>
      <c r="J39" s="61">
        <v>7.311990081664951</v>
      </c>
      <c r="K39" s="62">
        <v>12817.379511172227</v>
      </c>
      <c r="L39" s="63">
        <v>6.6765993544117075</v>
      </c>
      <c r="M39" s="62">
        <v>31908.567181833307</v>
      </c>
      <c r="N39" s="67">
        <v>3.9680813514865108</v>
      </c>
    </row>
    <row r="40" spans="1:14" x14ac:dyDescent="0.2">
      <c r="A40" s="42"/>
      <c r="B40" s="10" t="str">
        <f>VLOOKUP("&lt;Zeilentitel_2.25&gt;",Uebersetzungen!$B$3:$E$193,Uebersetzungen!$B$2+1,FALSE)</f>
        <v>Genève</v>
      </c>
      <c r="C40" s="60">
        <v>347060.99999999761</v>
      </c>
      <c r="D40" s="61">
        <v>0.53983951842116207</v>
      </c>
      <c r="E40" s="62">
        <v>72813.070853319441</v>
      </c>
      <c r="F40" s="63">
        <v>2.9283833981142959</v>
      </c>
      <c r="G40" s="64">
        <v>78771.073594399655</v>
      </c>
      <c r="H40" s="65">
        <v>2.6584602487755462</v>
      </c>
      <c r="I40" s="66">
        <v>36702.723915745752</v>
      </c>
      <c r="J40" s="61">
        <v>4.2343668679319428</v>
      </c>
      <c r="K40" s="62">
        <v>27103.265381808607</v>
      </c>
      <c r="L40" s="63">
        <v>4.8210775169070406</v>
      </c>
      <c r="M40" s="62">
        <v>131670.86625472415</v>
      </c>
      <c r="N40" s="67">
        <v>1.8927778100876522</v>
      </c>
    </row>
    <row r="41" spans="1:14" ht="13.5" thickBot="1" x14ac:dyDescent="0.25">
      <c r="A41" s="43"/>
      <c r="B41" s="13" t="str">
        <f>VLOOKUP("&lt;Zeilentitel_2.26&gt;",Uebersetzungen!$B$3:$E$193,Uebersetzungen!$B$2+1,FALSE)</f>
        <v>Jura</v>
      </c>
      <c r="C41" s="78">
        <v>53882.999999999425</v>
      </c>
      <c r="D41" s="79">
        <v>1.7337275554639409</v>
      </c>
      <c r="E41" s="80">
        <v>12513.946592063916</v>
      </c>
      <c r="F41" s="81">
        <v>9.1832594721517022</v>
      </c>
      <c r="G41" s="82">
        <v>22128.515283199889</v>
      </c>
      <c r="H41" s="83">
        <v>6.0308624891227014</v>
      </c>
      <c r="I41" s="84">
        <v>4479.3936253160373</v>
      </c>
      <c r="J41" s="79">
        <v>16.560782493964318</v>
      </c>
      <c r="K41" s="80">
        <v>5430.4341902519336</v>
      </c>
      <c r="L41" s="81">
        <v>14.29418404983705</v>
      </c>
      <c r="M41" s="80">
        <v>9330.710309167649</v>
      </c>
      <c r="N41" s="85">
        <v>10.528630201301944</v>
      </c>
    </row>
    <row r="42" spans="1:14" x14ac:dyDescent="0.2">
      <c r="F42" s="5"/>
    </row>
    <row r="43" spans="1:14" s="1" customFormat="1" x14ac:dyDescent="0.2">
      <c r="A43" s="6" t="str">
        <f>VLOOKUP("&lt;Legende_1&gt;",Uebersetzungen!$B$3:$E$193,Uebersetzungen!$B$2+1,FALSE)</f>
        <v>(): Extrapolation aufgrund von 49 oder weniger Beobachtungen. Die Resultate sind mit grosser Vorsicht zu interpretieren.</v>
      </c>
      <c r="D43" s="2"/>
      <c r="E43" s="7"/>
      <c r="F43" s="7"/>
      <c r="G43" s="4"/>
      <c r="H43" s="4"/>
    </row>
    <row r="44" spans="1:14" s="1" customFormat="1" x14ac:dyDescent="0.2">
      <c r="A44" s="6" t="str">
        <f>VLOOKUP("&lt;Legende_2&gt;",Uebersetzungen!$B$3:$E$193,Uebersetzungen!$B$2+1,FALSE)</f>
        <v>X: Extrapolation aufgrund von 4 oder weniger Beobachtungen. Die Resultate werden aus Gründen des Datenschutzes nicht publiziert.</v>
      </c>
      <c r="D44" s="2"/>
      <c r="E44" s="7"/>
      <c r="F44" s="7"/>
      <c r="G44" s="4"/>
      <c r="H44" s="4"/>
    </row>
    <row r="45" spans="1:14" s="1" customFormat="1" x14ac:dyDescent="0.2">
      <c r="A45" s="6" t="str">
        <f>VLOOKUP("&lt;Legende_3&gt;",Uebersetzungen!$B$3:$E$193,Uebersetzungen!$B$2+1,FALSE)</f>
        <v>Die Grundgesamtheit der Strukturerhebung enthält alle Personen der ständigen Wohnbevölkerung ab vollendetem 15. Altersjahr, die in Privathaushalten leben.</v>
      </c>
      <c r="D45" s="2"/>
      <c r="E45" s="7"/>
      <c r="F45" s="7"/>
      <c r="G45" s="4"/>
      <c r="H45" s="4"/>
    </row>
    <row r="46" spans="1:14" s="1" customFormat="1" x14ac:dyDescent="0.2">
      <c r="A46" s="6" t="str">
        <f>VLOOKUP("&lt;Legende_4&gt;",Uebersetzungen!$B$3:$E$193,Uebersetzungen!$B$2+1,FALSE)</f>
        <v>Aus der Grundgesamtheit ausgeschlossen wurden neben den Personen, die in Kollektivhaushalten leben, auch Diplomaten, internationale Funktionäre und deren Angehörige.</v>
      </c>
      <c r="D46" s="2"/>
      <c r="E46" s="7"/>
      <c r="F46" s="7"/>
      <c r="G46" s="4"/>
      <c r="H46" s="4"/>
    </row>
    <row r="47" spans="1:14" s="1" customFormat="1" x14ac:dyDescent="0.2">
      <c r="A47" s="6"/>
      <c r="D47" s="2"/>
      <c r="E47" s="7"/>
      <c r="F47" s="7"/>
      <c r="G47" s="4"/>
      <c r="H47" s="4"/>
    </row>
    <row r="48" spans="1:14" s="1" customFormat="1" x14ac:dyDescent="0.2">
      <c r="A48" s="6" t="str">
        <f>VLOOKUP("&lt;Quelle_1&gt;",Uebersetzungen!$B$3:$E$193,Uebersetzungen!$B$2+1,FALSE)</f>
        <v>Quelle: BFS (Strukturerhebung)</v>
      </c>
      <c r="D48" s="2"/>
      <c r="E48" s="7"/>
      <c r="F48" s="7"/>
      <c r="G48" s="4"/>
      <c r="H48" s="4"/>
    </row>
    <row r="49" spans="1:1" x14ac:dyDescent="0.2">
      <c r="A49" s="6" t="str">
        <f>VLOOKUP("&lt;aktualisierung&gt;",Uebersetzungen!$B$3:$E$193,Uebersetzungen!$B$2+1,FALSE)</f>
        <v>Letztmals aktualisiert am: 27.01.2025</v>
      </c>
    </row>
    <row r="50" spans="1:1" x14ac:dyDescent="0.2">
      <c r="A50" s="6"/>
    </row>
    <row r="51" spans="1:1" x14ac:dyDescent="0.2">
      <c r="A51" s="6"/>
    </row>
  </sheetData>
  <sheetProtection sheet="1" objects="1" scenarios="1"/>
  <mergeCells count="11">
    <mergeCell ref="A7:B7"/>
    <mergeCell ref="A16:A41"/>
    <mergeCell ref="I13:J13"/>
    <mergeCell ref="K13:L13"/>
    <mergeCell ref="M13:N13"/>
    <mergeCell ref="A13:B14"/>
    <mergeCell ref="A15:B15"/>
    <mergeCell ref="C13:D13"/>
    <mergeCell ref="E13:F13"/>
    <mergeCell ref="G13:H13"/>
    <mergeCell ref="C12:N12"/>
  </mergeCells>
  <pageMargins left="0.78740157480314965" right="0.78740157480314965" top="0.98425196850393704" bottom="0.98425196850393704" header="0.51181102362204722" footer="0.51181102362204722"/>
  <pageSetup scale="76" orientation="landscape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390525</xdr:colOff>
                    <xdr:row>1</xdr:row>
                    <xdr:rowOff>104775</xdr:rowOff>
                  </from>
                  <to>
                    <xdr:col>8</xdr:col>
                    <xdr:colOff>123825</xdr:colOff>
                    <xdr:row>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6</xdr:col>
                    <xdr:colOff>390525</xdr:colOff>
                    <xdr:row>2</xdr:row>
                    <xdr:rowOff>95250</xdr:rowOff>
                  </from>
                  <to>
                    <xdr:col>8</xdr:col>
                    <xdr:colOff>561975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6</xdr:col>
                    <xdr:colOff>390525</xdr:colOff>
                    <xdr:row>3</xdr:row>
                    <xdr:rowOff>57150</xdr:rowOff>
                  </from>
                  <to>
                    <xdr:col>8</xdr:col>
                    <xdr:colOff>123825</xdr:colOff>
                    <xdr:row>4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9"/>
  <dimension ref="A1:N52"/>
  <sheetViews>
    <sheetView showGridLines="0" zoomScaleNormal="100" workbookViewId="0"/>
  </sheetViews>
  <sheetFormatPr baseColWidth="10" defaultRowHeight="12.75" x14ac:dyDescent="0.2"/>
  <cols>
    <col min="1" max="1" width="15.375" style="8" customWidth="1"/>
    <col min="2" max="2" width="33.625" style="8" bestFit="1" customWidth="1"/>
    <col min="3" max="14" width="12.125" style="8" customWidth="1"/>
    <col min="15" max="16384" width="11" style="8"/>
  </cols>
  <sheetData>
    <row r="1" spans="1:14" s="11" customFormat="1" x14ac:dyDescent="0.2"/>
    <row r="2" spans="1:14" s="11" customFormat="1" ht="15.75" x14ac:dyDescent="0.25">
      <c r="B2" s="20"/>
      <c r="C2" s="21"/>
      <c r="D2" s="21"/>
    </row>
    <row r="3" spans="1:14" s="11" customFormat="1" ht="15.75" x14ac:dyDescent="0.25">
      <c r="B3" s="20"/>
      <c r="C3" s="21"/>
      <c r="D3" s="21"/>
    </row>
    <row r="4" spans="1:14" s="11" customFormat="1" ht="15.75" x14ac:dyDescent="0.25">
      <c r="B4" s="20"/>
      <c r="C4" s="21"/>
      <c r="D4" s="21"/>
    </row>
    <row r="5" spans="1:14" s="11" customFormat="1" x14ac:dyDescent="0.2"/>
    <row r="6" spans="1:14" s="11" customFormat="1" x14ac:dyDescent="0.2"/>
    <row r="7" spans="1:14" s="11" customFormat="1" ht="15.75" customHeight="1" x14ac:dyDescent="0.2">
      <c r="A7" s="41" t="str">
        <f>VLOOKUP("&lt;Fachbereich&gt;",Uebersetzungen!$B$3:$E$194,Uebersetzungen!$B$2+1,FALSE)</f>
        <v>Daten &amp; Statistik</v>
      </c>
      <c r="B7" s="41"/>
      <c r="C7" s="22"/>
      <c r="D7" s="22"/>
      <c r="E7" s="22"/>
      <c r="F7" s="22"/>
      <c r="G7" s="22"/>
      <c r="H7" s="22"/>
    </row>
    <row r="8" spans="1:14" s="11" customFormat="1" x14ac:dyDescent="0.2"/>
    <row r="9" spans="1:14" s="26" customFormat="1" ht="18" x14ac:dyDescent="0.2">
      <c r="A9" s="23" t="str">
        <f>VLOOKUP("&lt;T2Titel&gt;",Uebersetzungen!$B$3:$E$199,Uebersetzungen!$B$2+1,FALSE)</f>
        <v>Höchste abgeschlossene Ausbildung im Kanton Graubünden</v>
      </c>
      <c r="B9" s="24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26" customFormat="1" ht="15" x14ac:dyDescent="0.2">
      <c r="A10" s="27" t="str">
        <f>VLOOKUP("&lt;UTitel&gt;",Uebersetzungen!$B$3:$E$199,Uebersetzungen!$B$2+1,FALSE)</f>
        <v>Ständige Wohnbevölkerung ab 25 Jahren</v>
      </c>
      <c r="B10" s="24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4" s="26" customFormat="1" ht="15.75" thickBot="1" x14ac:dyDescent="0.25">
      <c r="A11" s="27"/>
      <c r="B11" s="24"/>
      <c r="C11" s="24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</row>
    <row r="12" spans="1:14" s="3" customFormat="1" ht="18.75" thickBot="1" x14ac:dyDescent="0.3">
      <c r="C12" s="51">
        <v>2023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3"/>
    </row>
    <row r="13" spans="1:14" s="3" customFormat="1" ht="50.25" customHeight="1" thickBot="1" x14ac:dyDescent="0.25">
      <c r="A13" s="30"/>
      <c r="B13" s="30"/>
      <c r="C13" s="44" t="str">
        <f>VLOOKUP("&lt;SpaltenTitel_1&gt;",Uebersetzungen!$B$3:$E$200,Uebersetzungen!$B$2+1,FALSE)</f>
        <v>Total</v>
      </c>
      <c r="D13" s="45"/>
      <c r="E13" s="44" t="str">
        <f>VLOOKUP("&lt;SpaltenTitel_2&gt;",Uebersetzungen!$B$3:$E$200,Uebersetzungen!$B$2+1,FALSE)</f>
        <v>Ohne nachobligatorische Ausbildung</v>
      </c>
      <c r="F13" s="45"/>
      <c r="G13" s="44" t="str">
        <f>VLOOKUP("&lt;SpaltenTitel_3&gt;",Uebersetzungen!$B$3:$E$200,Uebersetzungen!$B$2+1,FALSE)</f>
        <v>Sekundarstufe II: Berufsbildung</v>
      </c>
      <c r="H13" s="45"/>
      <c r="I13" s="44" t="str">
        <f>VLOOKUP("&lt;SpaltenTitel_4&gt;",Uebersetzungen!$B$3:$E$200,Uebersetzungen!$B$2+1,FALSE)</f>
        <v>Sekundarstufe II: Allgemeinbildung</v>
      </c>
      <c r="J13" s="45"/>
      <c r="K13" s="44" t="str">
        <f>VLOOKUP("&lt;SpaltenTitel_5&gt;",Uebersetzungen!$B$3:$E$200,Uebersetzungen!$B$2+1,FALSE)</f>
        <v>Tertiärstufe: höhere Berufsbildung</v>
      </c>
      <c r="L13" s="45"/>
      <c r="M13" s="44" t="str">
        <f>VLOOKUP("&lt;SpaltenTitel_6&gt;",Uebersetzungen!$B$3:$E$200,Uebersetzungen!$B$2+1,FALSE)</f>
        <v>Tertiärstufe: Hochschulen</v>
      </c>
      <c r="N13" s="46"/>
    </row>
    <row r="14" spans="1:14" ht="39" thickBot="1" x14ac:dyDescent="0.25">
      <c r="A14" s="30"/>
      <c r="B14" s="30"/>
      <c r="C14" s="34" t="str">
        <f>VLOOKUP("&lt;SpaltenTitel_1.1&gt;",Uebersetzungen!$B$3:$E$200,Uebersetzungen!$B$2+1,FALSE)</f>
        <v>Anzahl Personen</v>
      </c>
      <c r="D14" s="35" t="str">
        <f>VLOOKUP("&lt;SpaltenTitel_1.2&gt;",Uebersetzungen!$B$3:$E$200,Uebersetzungen!$B$2+1,FALSE)</f>
        <v>Vertrauens- intervall:          ± (in %)</v>
      </c>
      <c r="E14" s="36" t="str">
        <f>VLOOKUP("&lt;SpaltenTitel_1.1&gt;",Uebersetzungen!$B$3:$E$200,Uebersetzungen!$B$2+1,FALSE)</f>
        <v>Anzahl Personen</v>
      </c>
      <c r="F14" s="35" t="str">
        <f>VLOOKUP("&lt;SpaltenTitel_1.2&gt;",Uebersetzungen!$B$3:$E$200,Uebersetzungen!$B$2+1,FALSE)</f>
        <v>Vertrauens- intervall:          ± (in %)</v>
      </c>
      <c r="G14" s="36" t="str">
        <f>VLOOKUP("&lt;SpaltenTitel_1.1&gt;",Uebersetzungen!$B$3:$E$200,Uebersetzungen!$B$2+1,FALSE)</f>
        <v>Anzahl Personen</v>
      </c>
      <c r="H14" s="35" t="str">
        <f>VLOOKUP("&lt;SpaltenTitel_1.2&gt;",Uebersetzungen!$B$3:$E$200,Uebersetzungen!$B$2+1,FALSE)</f>
        <v>Vertrauens- intervall:          ± (in %)</v>
      </c>
      <c r="I14" s="36" t="str">
        <f>VLOOKUP("&lt;SpaltenTitel_1.1&gt;",Uebersetzungen!$B$3:$E$200,Uebersetzungen!$B$2+1,FALSE)</f>
        <v>Anzahl Personen</v>
      </c>
      <c r="J14" s="35" t="str">
        <f>VLOOKUP("&lt;SpaltenTitel_1.2&gt;",Uebersetzungen!$B$3:$E$200,Uebersetzungen!$B$2+1,FALSE)</f>
        <v>Vertrauens- intervall:          ± (in %)</v>
      </c>
      <c r="K14" s="36" t="str">
        <f>VLOOKUP("&lt;SpaltenTitel_1.1&gt;",Uebersetzungen!$B$3:$E$200,Uebersetzungen!$B$2+1,FALSE)</f>
        <v>Anzahl Personen</v>
      </c>
      <c r="L14" s="35" t="str">
        <f>VLOOKUP("&lt;SpaltenTitel_1.2&gt;",Uebersetzungen!$B$3:$E$200,Uebersetzungen!$B$2+1,FALSE)</f>
        <v>Vertrauens- intervall:          ± (in %)</v>
      </c>
      <c r="M14" s="36" t="str">
        <f>VLOOKUP("&lt;SpaltenTitel_1.1&gt;",Uebersetzungen!$B$3:$E$200,Uebersetzungen!$B$2+1,FALSE)</f>
        <v>Anzahl Personen</v>
      </c>
      <c r="N14" s="37" t="str">
        <f>VLOOKUP("&lt;SpaltenTitel_1.2&gt;",Uebersetzungen!$B$3:$E$200,Uebersetzungen!$B$2+1,FALSE)</f>
        <v>Vertrauens- intervall:          ± (in %)</v>
      </c>
    </row>
    <row r="15" spans="1:14" s="12" customFormat="1" x14ac:dyDescent="0.2">
      <c r="A15" s="59" t="str">
        <f>VLOOKUP("&lt;T2Zeilentitel_1&gt;",Uebersetzungen!$B$3:$E$199,Uebersetzungen!$B$2+1,FALSE)</f>
        <v>Total</v>
      </c>
      <c r="B15" s="59"/>
      <c r="C15" s="86">
        <v>155813.99999999709</v>
      </c>
      <c r="D15" s="87">
        <v>0.96378622151997839</v>
      </c>
      <c r="E15" s="88">
        <v>26736.900183936035</v>
      </c>
      <c r="F15" s="104">
        <v>6.5764938272828974</v>
      </c>
      <c r="G15" s="86">
        <v>55014.603866464211</v>
      </c>
      <c r="H15" s="87">
        <v>4.0238789025626689</v>
      </c>
      <c r="I15" s="88">
        <v>16019.1032006729</v>
      </c>
      <c r="J15" s="104">
        <v>8.718035137906794</v>
      </c>
      <c r="K15" s="86">
        <v>31084.764566092555</v>
      </c>
      <c r="L15" s="87">
        <v>5.7979720527239094</v>
      </c>
      <c r="M15" s="88">
        <v>26958.628182831377</v>
      </c>
      <c r="N15" s="105">
        <v>6.3955521562891899</v>
      </c>
    </row>
    <row r="16" spans="1:14" x14ac:dyDescent="0.2">
      <c r="A16" s="55" t="str">
        <f>VLOOKUP("&lt;T2Zeilentitel_2&gt;",Uebersetzungen!$B$3:$E$199,Uebersetzungen!$B$2+1,FALSE)</f>
        <v>Geschlecht</v>
      </c>
      <c r="B16" s="39" t="str">
        <f>VLOOKUP("&lt;T2Zeilentitel_2.1&gt;",Uebersetzungen!$B$3:$E$199,Uebersetzungen!$B$2+1,FALSE)</f>
        <v>Männer</v>
      </c>
      <c r="C16" s="60">
        <v>77761.99999999869</v>
      </c>
      <c r="D16" s="61">
        <v>3.1325535076252007</v>
      </c>
      <c r="E16" s="62">
        <v>11604.844731874589</v>
      </c>
      <c r="F16" s="94">
        <v>10.695188612229355</v>
      </c>
      <c r="G16" s="60">
        <v>27362.074992676349</v>
      </c>
      <c r="H16" s="61">
        <v>6.4498940922036461</v>
      </c>
      <c r="I16" s="62">
        <v>6198.193376969868</v>
      </c>
      <c r="J16" s="94">
        <v>14.689329394751761</v>
      </c>
      <c r="K16" s="60">
        <v>17967.492940170043</v>
      </c>
      <c r="L16" s="61">
        <v>8.0785900089015179</v>
      </c>
      <c r="M16" s="62">
        <v>14629.393958307845</v>
      </c>
      <c r="N16" s="95">
        <v>9.1101325977701606</v>
      </c>
    </row>
    <row r="17" spans="1:14" ht="15.75" customHeight="1" x14ac:dyDescent="0.2">
      <c r="A17" s="56"/>
      <c r="B17" s="10" t="str">
        <f>VLOOKUP("&lt;T2Zeilentitel_2.2&gt;",Uebersetzungen!$B$3:$E$199,Uebersetzungen!$B$2+1,FALSE)</f>
        <v>Frauen</v>
      </c>
      <c r="C17" s="106">
        <v>78051.999999998399</v>
      </c>
      <c r="D17" s="107">
        <v>2.978583592730319</v>
      </c>
      <c r="E17" s="108">
        <v>15132.055452061444</v>
      </c>
      <c r="F17" s="109">
        <v>8.9009434446560842</v>
      </c>
      <c r="G17" s="106">
        <v>27652.528873787865</v>
      </c>
      <c r="H17" s="107">
        <v>6.1777702990506853</v>
      </c>
      <c r="I17" s="108">
        <v>9820.9098237030321</v>
      </c>
      <c r="J17" s="109">
        <v>11.212129304152839</v>
      </c>
      <c r="K17" s="106">
        <v>13117.271625922514</v>
      </c>
      <c r="L17" s="107">
        <v>9.3183441368008957</v>
      </c>
      <c r="M17" s="108">
        <v>12329.234224523532</v>
      </c>
      <c r="N17" s="110">
        <v>9.8217835780105922</v>
      </c>
    </row>
    <row r="18" spans="1:14" x14ac:dyDescent="0.2">
      <c r="A18" s="54" t="str">
        <f>VLOOKUP("&lt;T2Zeilentitel_3&gt;",Uebersetzungen!$B$3:$E$199,Uebersetzungen!$B$2+1,FALSE)</f>
        <v>Alter</v>
      </c>
      <c r="B18" s="39" t="str">
        <f>VLOOKUP("&lt;T2Zeilentitel_3.1&gt;",Uebersetzungen!$B$3:$E$199,Uebersetzungen!$B$2+1,FALSE)</f>
        <v>25-44</v>
      </c>
      <c r="C18" s="60">
        <v>51462.999999998974</v>
      </c>
      <c r="D18" s="61">
        <v>4.444896757229202</v>
      </c>
      <c r="E18" s="62">
        <v>6071.3123341022501</v>
      </c>
      <c r="F18" s="94">
        <v>15.617767333129761</v>
      </c>
      <c r="G18" s="60">
        <v>16084.918714143914</v>
      </c>
      <c r="H18" s="61">
        <v>8.9327439599972234</v>
      </c>
      <c r="I18" s="62">
        <v>5750.3509423732339</v>
      </c>
      <c r="J18" s="94">
        <v>15.740556764258089</v>
      </c>
      <c r="K18" s="60">
        <v>10557.746482988863</v>
      </c>
      <c r="L18" s="61">
        <v>10.913080775763419</v>
      </c>
      <c r="M18" s="62">
        <v>12998.671526390708</v>
      </c>
      <c r="N18" s="95">
        <v>9.8767442793143054</v>
      </c>
    </row>
    <row r="19" spans="1:14" x14ac:dyDescent="0.2">
      <c r="A19" s="54"/>
      <c r="B19" s="10" t="str">
        <f>VLOOKUP("&lt;T2Zeilentitel_3.2&gt;",Uebersetzungen!$B$3:$E$199,Uebersetzungen!$B$2+1,FALSE)</f>
        <v>45-64</v>
      </c>
      <c r="C19" s="60">
        <v>59159.999999999338</v>
      </c>
      <c r="D19" s="61">
        <v>3.7416967720996359</v>
      </c>
      <c r="E19" s="62">
        <v>9476.7484611749642</v>
      </c>
      <c r="F19" s="94">
        <v>11.499350677257434</v>
      </c>
      <c r="G19" s="60">
        <v>22044.191520430122</v>
      </c>
      <c r="H19" s="61">
        <v>7.068810946635665</v>
      </c>
      <c r="I19" s="62">
        <v>5312.3698243970566</v>
      </c>
      <c r="J19" s="94">
        <v>15.129248551668722</v>
      </c>
      <c r="K19" s="60">
        <v>12896.753814519841</v>
      </c>
      <c r="L19" s="61">
        <v>9.4832431682218399</v>
      </c>
      <c r="M19" s="62">
        <v>9429.9363794773544</v>
      </c>
      <c r="N19" s="95">
        <v>11.214966305035473</v>
      </c>
    </row>
    <row r="20" spans="1:14" x14ac:dyDescent="0.2">
      <c r="A20" s="54"/>
      <c r="B20" s="10" t="str">
        <f>VLOOKUP("&lt;T2Zeilentitel_3.3&gt;",Uebersetzungen!$B$3:$E$199,Uebersetzungen!$B$2+1,FALSE)</f>
        <v>65 und mehr</v>
      </c>
      <c r="C20" s="106">
        <v>45190.999999998763</v>
      </c>
      <c r="D20" s="107">
        <v>4.5137334996911678</v>
      </c>
      <c r="E20" s="108">
        <v>11188.83938865882</v>
      </c>
      <c r="F20" s="109">
        <v>10.390497595469979</v>
      </c>
      <c r="G20" s="106">
        <v>16885.493631890222</v>
      </c>
      <c r="H20" s="107">
        <v>8.1678126031544576</v>
      </c>
      <c r="I20" s="108">
        <v>4956.3824339026114</v>
      </c>
      <c r="J20" s="109">
        <v>15.795256366050245</v>
      </c>
      <c r="K20" s="106">
        <v>7630.2642685838155</v>
      </c>
      <c r="L20" s="107">
        <v>12.409216333154955</v>
      </c>
      <c r="M20" s="108">
        <v>4530.0202769632979</v>
      </c>
      <c r="N20" s="110">
        <v>16.244331402341995</v>
      </c>
    </row>
    <row r="21" spans="1:14" x14ac:dyDescent="0.2">
      <c r="A21" s="55" t="str">
        <f>VLOOKUP("&lt;T2Zeilentitel_4&gt;",Uebersetzungen!$B$3:$E$199,Uebersetzungen!$B$2+1,FALSE)</f>
        <v>Staatsangehörigkeit</v>
      </c>
      <c r="B21" s="39" t="str">
        <f>VLOOKUP("&lt;T2Zeilentitel_4.1&gt;",Uebersetzungen!$B$3:$E$199,Uebersetzungen!$B$2+1,FALSE)</f>
        <v>Schweiz</v>
      </c>
      <c r="C21" s="60">
        <v>124185.27188613339</v>
      </c>
      <c r="D21" s="61">
        <v>1.6749060323437073</v>
      </c>
      <c r="E21" s="62">
        <v>15595.992320306963</v>
      </c>
      <c r="F21" s="94">
        <v>8.6475589624096809</v>
      </c>
      <c r="G21" s="60">
        <v>49817.240077420669</v>
      </c>
      <c r="H21" s="61">
        <v>4.2876254507223122</v>
      </c>
      <c r="I21" s="62">
        <v>10937.44556888497</v>
      </c>
      <c r="J21" s="94">
        <v>10.41167915777798</v>
      </c>
      <c r="K21" s="60">
        <v>27410.588584191464</v>
      </c>
      <c r="L21" s="61">
        <v>6.2081421799169103</v>
      </c>
      <c r="M21" s="62">
        <v>20424.005335329326</v>
      </c>
      <c r="N21" s="95">
        <v>7.4088280466815188</v>
      </c>
    </row>
    <row r="22" spans="1:14" x14ac:dyDescent="0.2">
      <c r="A22" s="54"/>
      <c r="B22" s="10" t="str">
        <f>VLOOKUP("&lt;T2Zeilentitel_4.2&gt;",Uebersetzungen!$B$3:$E$199,Uebersetzungen!$B$2+1,FALSE)</f>
        <v>EU und EFTA</v>
      </c>
      <c r="C22" s="60">
        <v>25142.826771839536</v>
      </c>
      <c r="D22" s="61">
        <v>6.9596908414037228</v>
      </c>
      <c r="E22" s="62">
        <v>8454.4345522863005</v>
      </c>
      <c r="F22" s="94">
        <v>12.70531576818423</v>
      </c>
      <c r="G22" s="60">
        <v>4241.3739564711332</v>
      </c>
      <c r="H22" s="61">
        <v>17.944414385728962</v>
      </c>
      <c r="I22" s="62">
        <v>4251.7874086357288</v>
      </c>
      <c r="J22" s="94">
        <v>18.240286476338337</v>
      </c>
      <c r="K22" s="60">
        <v>3035.7820489089522</v>
      </c>
      <c r="L22" s="61">
        <v>21.098265578367428</v>
      </c>
      <c r="M22" s="62">
        <v>5159.4488055374204</v>
      </c>
      <c r="N22" s="95">
        <v>16.017892770331645</v>
      </c>
    </row>
    <row r="23" spans="1:14" x14ac:dyDescent="0.2">
      <c r="A23" s="54"/>
      <c r="B23" s="10" t="str">
        <f>VLOOKUP("&lt;T2Zeilentitel_4.3&gt;",Uebersetzungen!$B$3:$E$199,Uebersetzungen!$B$2+1,FALSE)</f>
        <v>Anderer europäischer Staat</v>
      </c>
      <c r="C23" s="60">
        <v>3503.2485283514366</v>
      </c>
      <c r="D23" s="61">
        <v>21.371166868306997</v>
      </c>
      <c r="E23" s="96">
        <v>1177.6372405577167</v>
      </c>
      <c r="F23" s="97">
        <v>36.340716847854395</v>
      </c>
      <c r="G23" s="98">
        <v>507.99523271139185</v>
      </c>
      <c r="H23" s="69">
        <v>56.906506370452277</v>
      </c>
      <c r="I23" s="99">
        <v>686.01667660257795</v>
      </c>
      <c r="J23" s="97">
        <v>50.749963362506762</v>
      </c>
      <c r="K23" s="98">
        <v>360.77395559595402</v>
      </c>
      <c r="L23" s="69">
        <v>64.867545703248865</v>
      </c>
      <c r="M23" s="99">
        <v>770.82542288379534</v>
      </c>
      <c r="N23" s="100">
        <v>45.84659828131732</v>
      </c>
    </row>
    <row r="24" spans="1:14" ht="15" customHeight="1" x14ac:dyDescent="0.2">
      <c r="A24" s="54"/>
      <c r="B24" s="10" t="str">
        <f>VLOOKUP("&lt;T2Zeilentitel_4.4&gt;",Uebersetzungen!$B$3:$E$199,Uebersetzungen!$B$2+1,FALSE)</f>
        <v>Aussereuropäischer Staat</v>
      </c>
      <c r="C24" s="60">
        <v>2982.6528136727643</v>
      </c>
      <c r="D24" s="61">
        <v>22.347702043924258</v>
      </c>
      <c r="E24" s="96">
        <v>1508.8360707850463</v>
      </c>
      <c r="F24" s="97">
        <v>31.963531230103531</v>
      </c>
      <c r="G24" s="98">
        <v>447.99459986109127</v>
      </c>
      <c r="H24" s="69">
        <v>58.737273531952894</v>
      </c>
      <c r="I24" s="62" t="s">
        <v>310</v>
      </c>
      <c r="J24" s="94" t="s">
        <v>310</v>
      </c>
      <c r="K24" s="98">
        <v>277.61997739616891</v>
      </c>
      <c r="L24" s="69">
        <v>73.167758199879557</v>
      </c>
      <c r="M24" s="99">
        <v>604.34861908083303</v>
      </c>
      <c r="N24" s="100">
        <v>48.570644164519472</v>
      </c>
    </row>
    <row r="25" spans="1:14" x14ac:dyDescent="0.2">
      <c r="A25" s="56"/>
      <c r="B25" s="10" t="str">
        <f>VLOOKUP("&lt;T2Zeilentitel_4.5&gt;",Uebersetzungen!$B$3:$E$199,Uebersetzungen!$B$2+1,FALSE)</f>
        <v>Staatsangehörigkeit unbekannt</v>
      </c>
      <c r="C25" s="106" t="s">
        <v>310</v>
      </c>
      <c r="D25" s="107" t="s">
        <v>310</v>
      </c>
      <c r="E25" s="108" t="s">
        <v>310</v>
      </c>
      <c r="F25" s="109" t="s">
        <v>310</v>
      </c>
      <c r="G25" s="106" t="s">
        <v>310</v>
      </c>
      <c r="H25" s="107" t="s">
        <v>310</v>
      </c>
      <c r="I25" s="108" t="s">
        <v>310</v>
      </c>
      <c r="J25" s="109" t="s">
        <v>310</v>
      </c>
      <c r="K25" s="106" t="s">
        <v>310</v>
      </c>
      <c r="L25" s="107" t="s">
        <v>310</v>
      </c>
      <c r="M25" s="108" t="s">
        <v>310</v>
      </c>
      <c r="N25" s="110" t="s">
        <v>310</v>
      </c>
    </row>
    <row r="26" spans="1:14" x14ac:dyDescent="0.2">
      <c r="A26" s="54" t="str">
        <f>VLOOKUP("&lt;T2Zeilentitel_5&gt;",Uebersetzungen!$B$3:$E$199,Uebersetzungen!$B$2+1,FALSE)</f>
        <v>Migrationsstatus</v>
      </c>
      <c r="B26" s="39" t="str">
        <f>VLOOKUP("&lt;T2Zeilentitel_5.1&gt;",Uebersetzungen!$B$3:$E$199,Uebersetzungen!$B$2+1,FALSE)</f>
        <v>Schweizer/innen ohne Migrationshintergrund</v>
      </c>
      <c r="C26" s="60">
        <v>107993.88013455133</v>
      </c>
      <c r="D26" s="61">
        <v>2.090453078333836</v>
      </c>
      <c r="E26" s="62">
        <v>11293.678962915435</v>
      </c>
      <c r="F26" s="94">
        <v>10.335798708295107</v>
      </c>
      <c r="G26" s="60">
        <v>45196.30940467443</v>
      </c>
      <c r="H26" s="61">
        <v>4.5878704607728036</v>
      </c>
      <c r="I26" s="62">
        <v>8863.3588811808622</v>
      </c>
      <c r="J26" s="94">
        <v>11.654143227852748</v>
      </c>
      <c r="K26" s="60">
        <v>24989.637033825085</v>
      </c>
      <c r="L26" s="61">
        <v>6.5560367306972536</v>
      </c>
      <c r="M26" s="62">
        <v>17650.89585195552</v>
      </c>
      <c r="N26" s="95">
        <v>8.0665012037349157</v>
      </c>
    </row>
    <row r="27" spans="1:14" x14ac:dyDescent="0.2">
      <c r="A27" s="54"/>
      <c r="B27" s="10" t="str">
        <f>VLOOKUP("&lt;T2Zeilentitel_5.2&gt;",Uebersetzungen!$B$3:$E$199,Uebersetzungen!$B$2+1,FALSE)</f>
        <v>Schweizer/innen mit Migrationshintergrund</v>
      </c>
      <c r="C27" s="60">
        <v>15265.93352013448</v>
      </c>
      <c r="D27" s="61">
        <v>8.6640836505037893</v>
      </c>
      <c r="E27" s="62">
        <v>4026.2619499835696</v>
      </c>
      <c r="F27" s="94">
        <v>17.477921023914899</v>
      </c>
      <c r="G27" s="60">
        <v>4067.0214190563893</v>
      </c>
      <c r="H27" s="61">
        <v>17.505232123712307</v>
      </c>
      <c r="I27" s="62">
        <v>2041.2326175283881</v>
      </c>
      <c r="J27" s="94">
        <v>24.66116126947033</v>
      </c>
      <c r="K27" s="60">
        <v>2358.3080501923105</v>
      </c>
      <c r="L27" s="61">
        <v>23.033181850686404</v>
      </c>
      <c r="M27" s="62">
        <v>2773.1094833738221</v>
      </c>
      <c r="N27" s="95">
        <v>20.894401554316286</v>
      </c>
    </row>
    <row r="28" spans="1:14" x14ac:dyDescent="0.2">
      <c r="A28" s="54"/>
      <c r="B28" s="10" t="str">
        <f>VLOOKUP("&lt;T2Zeilentitel_5.3&gt;",Uebersetzungen!$B$3:$E$199,Uebersetzungen!$B$2+1,FALSE)</f>
        <v>Ausländer/innen der ersten Generation</v>
      </c>
      <c r="C28" s="60">
        <v>30631.304156831648</v>
      </c>
      <c r="D28" s="61">
        <v>6.2905995819711729</v>
      </c>
      <c r="E28" s="62">
        <v>10974.181890351574</v>
      </c>
      <c r="F28" s="94">
        <v>11.193338024491245</v>
      </c>
      <c r="G28" s="60">
        <v>4831.5832951050143</v>
      </c>
      <c r="H28" s="61">
        <v>17.040164312819783</v>
      </c>
      <c r="I28" s="62">
        <v>5003.2422511612494</v>
      </c>
      <c r="J28" s="94">
        <v>17.02621834663309</v>
      </c>
      <c r="K28" s="60">
        <v>3466.6339696262912</v>
      </c>
      <c r="L28" s="61">
        <v>19.922810385084414</v>
      </c>
      <c r="M28" s="62">
        <v>6355.6627505875185</v>
      </c>
      <c r="N28" s="95">
        <v>14.591677978940337</v>
      </c>
    </row>
    <row r="29" spans="1:14" ht="12.75" customHeight="1" x14ac:dyDescent="0.2">
      <c r="A29" s="54"/>
      <c r="B29" s="10" t="str">
        <f>VLOOKUP("&lt;T2Zeilentitel_5.4&gt;",Uebersetzungen!$B$3:$E$199,Uebersetzungen!$B$2+1,FALSE)</f>
        <v>Ausländer/innen der zweiten und höheren Generation</v>
      </c>
      <c r="C29" s="98">
        <v>997.42395703210479</v>
      </c>
      <c r="D29" s="69">
        <v>37.507929112867842</v>
      </c>
      <c r="E29" s="62" t="s">
        <v>310</v>
      </c>
      <c r="F29" s="94" t="s">
        <v>310</v>
      </c>
      <c r="G29" s="98">
        <v>365.7804939386026</v>
      </c>
      <c r="H29" s="69">
        <v>61.4155596678645</v>
      </c>
      <c r="I29" s="62" t="s">
        <v>310</v>
      </c>
      <c r="J29" s="94" t="s">
        <v>310</v>
      </c>
      <c r="K29" s="98">
        <v>207.54201227478472</v>
      </c>
      <c r="L29" s="69">
        <v>79.601960808164023</v>
      </c>
      <c r="M29" s="99">
        <v>178.96009691453048</v>
      </c>
      <c r="N29" s="100">
        <v>87.226725636936678</v>
      </c>
    </row>
    <row r="30" spans="1:14" x14ac:dyDescent="0.2">
      <c r="A30" s="54"/>
      <c r="B30" s="10" t="str">
        <f>VLOOKUP("&lt;T2Zeilentitel_5.5&gt;",Uebersetzungen!$B$3:$E$199,Uebersetzungen!$B$2+1,FALSE)</f>
        <v>Migrationshintergrund unbekannt</v>
      </c>
      <c r="C30" s="111">
        <v>925.45823144759413</v>
      </c>
      <c r="D30" s="112">
        <v>37.179659099788886</v>
      </c>
      <c r="E30" s="113">
        <v>276.05140740795719</v>
      </c>
      <c r="F30" s="114">
        <v>68.277729392406229</v>
      </c>
      <c r="G30" s="111">
        <v>553.90925368985609</v>
      </c>
      <c r="H30" s="112">
        <v>48.397909541291021</v>
      </c>
      <c r="I30" s="108" t="s">
        <v>310</v>
      </c>
      <c r="J30" s="109" t="s">
        <v>310</v>
      </c>
      <c r="K30" s="106" t="s">
        <v>310</v>
      </c>
      <c r="L30" s="107" t="s">
        <v>310</v>
      </c>
      <c r="M30" s="108" t="s">
        <v>310</v>
      </c>
      <c r="N30" s="110" t="s">
        <v>310</v>
      </c>
    </row>
    <row r="31" spans="1:14" x14ac:dyDescent="0.2">
      <c r="A31" s="55" t="str">
        <f>VLOOKUP("&lt;T2Zeilentitel_6&gt;",Uebersetzungen!$B$3:$E$199,Uebersetzungen!$B$2+1,FALSE)</f>
        <v>Arbeitsmarktstatus</v>
      </c>
      <c r="B31" s="39" t="str">
        <f>VLOOKUP("&lt;T2Zeilentitel_6.1&gt;",Uebersetzungen!$B$3:$E$199,Uebersetzungen!$B$2+1,FALSE)</f>
        <v>Erwerbstätige</v>
      </c>
      <c r="C31" s="60">
        <v>97696.899636999515</v>
      </c>
      <c r="D31" s="61">
        <v>2.4544638320521894</v>
      </c>
      <c r="E31" s="62">
        <v>12569.368751913096</v>
      </c>
      <c r="F31" s="94">
        <v>10.203015109070304</v>
      </c>
      <c r="G31" s="60">
        <v>32338.543040863595</v>
      </c>
      <c r="H31" s="61">
        <v>5.7679985412174126</v>
      </c>
      <c r="I31" s="62">
        <v>9406.2845970467733</v>
      </c>
      <c r="J31" s="94">
        <v>11.646558267703938</v>
      </c>
      <c r="K31" s="60">
        <v>22498.886877939633</v>
      </c>
      <c r="L31" s="61">
        <v>7.0474088192983926</v>
      </c>
      <c r="M31" s="62">
        <v>20883.816369236418</v>
      </c>
      <c r="N31" s="95">
        <v>7.3902857929994124</v>
      </c>
    </row>
    <row r="32" spans="1:14" x14ac:dyDescent="0.2">
      <c r="A32" s="54"/>
      <c r="B32" s="10" t="str">
        <f>VLOOKUP("&lt;T2Zeilentitel_6.2&gt;",Uebersetzungen!$B$3:$E$199,Uebersetzungen!$B$2+1,FALSE)</f>
        <v>Erwerbslose</v>
      </c>
      <c r="C32" s="101">
        <v>1977.6674995727949</v>
      </c>
      <c r="D32" s="69">
        <v>27.857073712086819</v>
      </c>
      <c r="E32" s="99">
        <v>310.56752561067475</v>
      </c>
      <c r="F32" s="97">
        <v>68.984962450615512</v>
      </c>
      <c r="G32" s="98">
        <v>624.36385861539111</v>
      </c>
      <c r="H32" s="69">
        <v>50.811304959309844</v>
      </c>
      <c r="I32" s="99">
        <v>254.79502165128696</v>
      </c>
      <c r="J32" s="97">
        <v>79.252806727525225</v>
      </c>
      <c r="K32" s="98">
        <v>241.44436245529627</v>
      </c>
      <c r="L32" s="69">
        <v>73.49798246168325</v>
      </c>
      <c r="M32" s="99">
        <v>546.496731240146</v>
      </c>
      <c r="N32" s="100">
        <v>53.955688763174749</v>
      </c>
    </row>
    <row r="33" spans="1:14" x14ac:dyDescent="0.2">
      <c r="A33" s="56"/>
      <c r="B33" s="40" t="str">
        <f>VLOOKUP("&lt;T2Zeilentitel_6.3&gt;",Uebersetzungen!$B$3:$E$199,Uebersetzungen!$B$2+1,FALSE)</f>
        <v>Nichterwerbspersonen</v>
      </c>
      <c r="C33" s="106">
        <v>56139.432863424729</v>
      </c>
      <c r="D33" s="107">
        <v>3.928980359434957</v>
      </c>
      <c r="E33" s="108">
        <v>13856.963906412266</v>
      </c>
      <c r="F33" s="109">
        <v>9.3374825852453505</v>
      </c>
      <c r="G33" s="106">
        <v>22051.696966985204</v>
      </c>
      <c r="H33" s="107">
        <v>7.0816852135078756</v>
      </c>
      <c r="I33" s="108">
        <v>6358.0235819748377</v>
      </c>
      <c r="J33" s="109">
        <v>14.111192175259685</v>
      </c>
      <c r="K33" s="106">
        <v>8344.4333256976042</v>
      </c>
      <c r="L33" s="107">
        <v>11.952651303794761</v>
      </c>
      <c r="M33" s="108">
        <v>5528.3150823548194</v>
      </c>
      <c r="N33" s="110">
        <v>15.113996885603139</v>
      </c>
    </row>
    <row r="34" spans="1:14" x14ac:dyDescent="0.2">
      <c r="A34" s="57" t="str">
        <f>VLOOKUP("&lt;T2Zeilentitel_7&gt;",Uebersetzungen!$B$3:$E$199,Uebersetzungen!$B$2+1,FALSE)</f>
        <v>Sozioprofessionelle Kategorien</v>
      </c>
      <c r="B34" s="39" t="str">
        <f>VLOOKUP("&lt;T2Zeilentitel_7.1&gt;",Uebersetzungen!$B$3:$E$199,Uebersetzungen!$B$2+1,FALSE)</f>
        <v>Oberstes Management</v>
      </c>
      <c r="C34" s="60">
        <v>2604.4253375648709</v>
      </c>
      <c r="D34" s="61">
        <v>22.012924808912377</v>
      </c>
      <c r="E34" s="99">
        <v>275.06085357021124</v>
      </c>
      <c r="F34" s="97">
        <v>74.564433817605718</v>
      </c>
      <c r="G34" s="98">
        <v>394.22752835774156</v>
      </c>
      <c r="H34" s="69">
        <v>55.836212605314302</v>
      </c>
      <c r="I34" s="99">
        <v>198.32116665239198</v>
      </c>
      <c r="J34" s="97">
        <v>79.880750636412202</v>
      </c>
      <c r="K34" s="98">
        <v>786.76701549808445</v>
      </c>
      <c r="L34" s="69">
        <v>40.380906730524991</v>
      </c>
      <c r="M34" s="99">
        <v>950.04877348644186</v>
      </c>
      <c r="N34" s="100">
        <v>35.829114071921943</v>
      </c>
    </row>
    <row r="35" spans="1:14" ht="15" customHeight="1" x14ac:dyDescent="0.2">
      <c r="A35" s="57"/>
      <c r="B35" s="10" t="str">
        <f>VLOOKUP("&lt;T2Zeilentitel_7.2&gt;",Uebersetzungen!$B$3:$E$199,Uebersetzungen!$B$2+1,FALSE)</f>
        <v>Freie und gleichgestellte Berufe</v>
      </c>
      <c r="C35" s="60">
        <v>2805.8072395718664</v>
      </c>
      <c r="D35" s="61">
        <v>21.179835407272375</v>
      </c>
      <c r="E35" s="62" t="s">
        <v>310</v>
      </c>
      <c r="F35" s="94" t="s">
        <v>310</v>
      </c>
      <c r="G35" s="60" t="s">
        <v>310</v>
      </c>
      <c r="H35" s="61" t="s">
        <v>310</v>
      </c>
      <c r="I35" s="62" t="s">
        <v>310</v>
      </c>
      <c r="J35" s="94" t="s">
        <v>310</v>
      </c>
      <c r="K35" s="60" t="s">
        <v>310</v>
      </c>
      <c r="L35" s="61" t="s">
        <v>310</v>
      </c>
      <c r="M35" s="62">
        <v>2805.8072395718664</v>
      </c>
      <c r="N35" s="95">
        <v>21.179835407272375</v>
      </c>
    </row>
    <row r="36" spans="1:14" x14ac:dyDescent="0.2">
      <c r="A36" s="57"/>
      <c r="B36" s="10" t="str">
        <f>VLOOKUP("&lt;T2Zeilentitel_7.3&gt;",Uebersetzungen!$B$3:$E$199,Uebersetzungen!$B$2+1,FALSE)</f>
        <v>Andere Selbstständige</v>
      </c>
      <c r="C36" s="60">
        <v>12165.340797229886</v>
      </c>
      <c r="D36" s="61">
        <v>10.065595793493106</v>
      </c>
      <c r="E36" s="96">
        <v>1126.1323743448759</v>
      </c>
      <c r="F36" s="97">
        <v>34.816232591230033</v>
      </c>
      <c r="G36" s="60">
        <v>5485.900147379316</v>
      </c>
      <c r="H36" s="61">
        <v>15.355103712712664</v>
      </c>
      <c r="I36" s="99">
        <v>923.64981610445068</v>
      </c>
      <c r="J36" s="97">
        <v>37.528292311622586</v>
      </c>
      <c r="K36" s="60">
        <v>4034.130621128897</v>
      </c>
      <c r="L36" s="61">
        <v>17.809269608479347</v>
      </c>
      <c r="M36" s="99">
        <v>595.52783827234634</v>
      </c>
      <c r="N36" s="100">
        <v>45.679514504235506</v>
      </c>
    </row>
    <row r="37" spans="1:14" x14ac:dyDescent="0.2">
      <c r="A37" s="57"/>
      <c r="B37" s="10" t="str">
        <f>VLOOKUP("&lt;T2Zeilentitel_7.4&gt;",Uebersetzungen!$B$3:$E$199,Uebersetzungen!$B$2+1,FALSE)</f>
        <v>Akademische Berufe und oberes Kader</v>
      </c>
      <c r="C37" s="60">
        <v>15832.534686502415</v>
      </c>
      <c r="D37" s="61">
        <v>8.5972933744733115</v>
      </c>
      <c r="E37" s="99">
        <v>352.61211996991597</v>
      </c>
      <c r="F37" s="97">
        <v>61.632527113441292</v>
      </c>
      <c r="G37" s="98">
        <v>771.56292155640278</v>
      </c>
      <c r="H37" s="69">
        <v>40.322174116959694</v>
      </c>
      <c r="I37" s="99">
        <v>805.60067361310325</v>
      </c>
      <c r="J37" s="97">
        <v>40.584522235606528</v>
      </c>
      <c r="K37" s="60">
        <v>2273.9421835546627</v>
      </c>
      <c r="L37" s="61">
        <v>23.581297370138465</v>
      </c>
      <c r="M37" s="62">
        <v>11628.816787808331</v>
      </c>
      <c r="N37" s="95">
        <v>10.159657554648845</v>
      </c>
    </row>
    <row r="38" spans="1:14" x14ac:dyDescent="0.2">
      <c r="A38" s="57"/>
      <c r="B38" s="10" t="str">
        <f>VLOOKUP("&lt;T2Zeilentitel_7.5&gt;",Uebersetzungen!$B$3:$E$199,Uebersetzungen!$B$2+1,FALSE)</f>
        <v>Intermediäre Berufe</v>
      </c>
      <c r="C38" s="60">
        <v>30842.589080698279</v>
      </c>
      <c r="D38" s="61">
        <v>5.9252186756952465</v>
      </c>
      <c r="E38" s="62">
        <v>2337.4881776402221</v>
      </c>
      <c r="F38" s="94">
        <v>24.177046995306462</v>
      </c>
      <c r="G38" s="60">
        <v>5388.9608979459681</v>
      </c>
      <c r="H38" s="61">
        <v>15.487136329151749</v>
      </c>
      <c r="I38" s="62">
        <v>3286.2249443867709</v>
      </c>
      <c r="J38" s="94">
        <v>19.94785365206258</v>
      </c>
      <c r="K38" s="60">
        <v>15103.565306101857</v>
      </c>
      <c r="L38" s="61">
        <v>8.7921339802861294</v>
      </c>
      <c r="M38" s="62">
        <v>4726.349754623463</v>
      </c>
      <c r="N38" s="95">
        <v>16.675906097508978</v>
      </c>
    </row>
    <row r="39" spans="1:14" x14ac:dyDescent="0.2">
      <c r="A39" s="57"/>
      <c r="B39" s="10" t="str">
        <f>VLOOKUP("&lt;T2Zeilentitel_7.6&gt;",Uebersetzungen!$B$3:$E$199,Uebersetzungen!$B$2+1,FALSE)</f>
        <v>Qualifizierte nichtmanuelle Berufe</v>
      </c>
      <c r="C39" s="60">
        <v>16830.694117017589</v>
      </c>
      <c r="D39" s="61">
        <v>8.320338508230062</v>
      </c>
      <c r="E39" s="99">
        <v>535.34065211822929</v>
      </c>
      <c r="F39" s="97">
        <v>50.087712596915821</v>
      </c>
      <c r="G39" s="60">
        <v>13539.935908976104</v>
      </c>
      <c r="H39" s="61">
        <v>9.3506149176829947</v>
      </c>
      <c r="I39" s="62">
        <v>2755.4175559232549</v>
      </c>
      <c r="J39" s="94">
        <v>21.626693813536129</v>
      </c>
      <c r="K39" s="60" t="s">
        <v>310</v>
      </c>
      <c r="L39" s="61" t="s">
        <v>310</v>
      </c>
      <c r="M39" s="62" t="s">
        <v>310</v>
      </c>
      <c r="N39" s="95" t="s">
        <v>310</v>
      </c>
    </row>
    <row r="40" spans="1:14" x14ac:dyDescent="0.2">
      <c r="A40" s="57"/>
      <c r="B40" s="10" t="str">
        <f>VLOOKUP("&lt;T2Zeilentitel_7.7&gt;",Uebersetzungen!$B$3:$E$199,Uebersetzungen!$B$2+1,FALSE)</f>
        <v>Qualifizierte manuelle Berufe</v>
      </c>
      <c r="C40" s="60">
        <v>8455.1002836047592</v>
      </c>
      <c r="D40" s="61">
        <v>12.535918714088185</v>
      </c>
      <c r="E40" s="99">
        <v>866.85433137803784</v>
      </c>
      <c r="F40" s="97">
        <v>40.633758088606896</v>
      </c>
      <c r="G40" s="60">
        <v>6367.7018195946375</v>
      </c>
      <c r="H40" s="61">
        <v>14.418795537849244</v>
      </c>
      <c r="I40" s="96">
        <v>1220.5441326320831</v>
      </c>
      <c r="J40" s="97">
        <v>34.552433649376326</v>
      </c>
      <c r="K40" s="60" t="s">
        <v>310</v>
      </c>
      <c r="L40" s="61" t="s">
        <v>310</v>
      </c>
      <c r="M40" s="62" t="s">
        <v>310</v>
      </c>
      <c r="N40" s="95" t="s">
        <v>310</v>
      </c>
    </row>
    <row r="41" spans="1:14" x14ac:dyDescent="0.2">
      <c r="A41" s="57"/>
      <c r="B41" s="10" t="str">
        <f>VLOOKUP("&lt;T2Zeilentitel_7.8&gt;",Uebersetzungen!$B$3:$E$199,Uebersetzungen!$B$2+1,FALSE)</f>
        <v>Ungelernte Angestellte und Arbeiter/innen</v>
      </c>
      <c r="C41" s="60">
        <v>6695.6177645743237</v>
      </c>
      <c r="D41" s="61">
        <v>14.192756722839956</v>
      </c>
      <c r="E41" s="62">
        <v>6695.6177645743237</v>
      </c>
      <c r="F41" s="94">
        <v>14.192756722839956</v>
      </c>
      <c r="G41" s="60" t="s">
        <v>310</v>
      </c>
      <c r="H41" s="61" t="s">
        <v>310</v>
      </c>
      <c r="I41" s="62" t="s">
        <v>310</v>
      </c>
      <c r="J41" s="94" t="s">
        <v>310</v>
      </c>
      <c r="K41" s="60" t="s">
        <v>310</v>
      </c>
      <c r="L41" s="61" t="s">
        <v>310</v>
      </c>
      <c r="M41" s="62" t="s">
        <v>310</v>
      </c>
      <c r="N41" s="95" t="s">
        <v>310</v>
      </c>
    </row>
    <row r="42" spans="1:14" ht="12.75" customHeight="1" x14ac:dyDescent="0.2">
      <c r="A42" s="57"/>
      <c r="B42" s="10" t="str">
        <f>VLOOKUP("&lt;T2Zeilentitel_7.9&gt;",Uebersetzungen!$B$3:$E$199,Uebersetzungen!$B$2+1,FALSE)</f>
        <v>Lernende in dualer beruflicher Grundbildung (Lehrlinge)</v>
      </c>
      <c r="C42" s="98">
        <v>232.87610917516358</v>
      </c>
      <c r="D42" s="69">
        <v>79.445193877032835</v>
      </c>
      <c r="E42" s="62" t="s">
        <v>310</v>
      </c>
      <c r="F42" s="94" t="s">
        <v>310</v>
      </c>
      <c r="G42" s="60" t="s">
        <v>310</v>
      </c>
      <c r="H42" s="61" t="s">
        <v>310</v>
      </c>
      <c r="I42" s="62" t="s">
        <v>310</v>
      </c>
      <c r="J42" s="94" t="s">
        <v>310</v>
      </c>
      <c r="K42" s="60" t="s">
        <v>310</v>
      </c>
      <c r="L42" s="61" t="s">
        <v>310</v>
      </c>
      <c r="M42" s="62" t="s">
        <v>310</v>
      </c>
      <c r="N42" s="95" t="s">
        <v>310</v>
      </c>
    </row>
    <row r="43" spans="1:14" ht="25.5" x14ac:dyDescent="0.2">
      <c r="A43" s="57"/>
      <c r="B43" s="10" t="str">
        <f>VLOOKUP("&lt;T2Zeilentitel_7.10&gt;",Uebersetzungen!$B$3:$E$199,Uebersetzungen!$B$2+1,FALSE)</f>
        <v>Nicht zuteilbare Erwerbstätige (fehlende oder unklare Basisdaten)</v>
      </c>
      <c r="C43" s="101">
        <v>1231.9142210603923</v>
      </c>
      <c r="D43" s="69">
        <v>34.006574082162828</v>
      </c>
      <c r="E43" s="99">
        <v>338.52623784078816</v>
      </c>
      <c r="F43" s="97">
        <v>69.523187653787929</v>
      </c>
      <c r="G43" s="98">
        <v>274.08272439415998</v>
      </c>
      <c r="H43" s="69">
        <v>68.338513426426914</v>
      </c>
      <c r="I43" s="62" t="s">
        <v>310</v>
      </c>
      <c r="J43" s="94" t="s">
        <v>310</v>
      </c>
      <c r="K43" s="98">
        <v>268.17070237460842</v>
      </c>
      <c r="L43" s="69">
        <v>68.443715387435574</v>
      </c>
      <c r="M43" s="99">
        <v>177.26597547395284</v>
      </c>
      <c r="N43" s="100">
        <v>86.58334836978571</v>
      </c>
    </row>
    <row r="44" spans="1:14" ht="13.5" thickBot="1" x14ac:dyDescent="0.25">
      <c r="A44" s="58"/>
      <c r="B44" s="13" t="str">
        <f>VLOOKUP("&lt;T2Zeilentitel_7.11&gt;",Uebersetzungen!$B$3:$E$199,Uebersetzungen!$B$2+1,FALSE)</f>
        <v>Erwerbslose und Nichterwerbspersonen</v>
      </c>
      <c r="C44" s="78">
        <v>58117.100362997538</v>
      </c>
      <c r="D44" s="79">
        <v>3.848482718158583</v>
      </c>
      <c r="E44" s="80">
        <v>14167.531432022943</v>
      </c>
      <c r="F44" s="102">
        <v>9.2397991660109753</v>
      </c>
      <c r="G44" s="78">
        <v>22676.060825600598</v>
      </c>
      <c r="H44" s="79">
        <v>6.9987995358753974</v>
      </c>
      <c r="I44" s="80">
        <v>6612.818603626125</v>
      </c>
      <c r="J44" s="102">
        <v>13.886932300731395</v>
      </c>
      <c r="K44" s="78">
        <v>8585.8776881529011</v>
      </c>
      <c r="L44" s="79">
        <v>11.781620482911102</v>
      </c>
      <c r="M44" s="80">
        <v>6074.8118135949671</v>
      </c>
      <c r="N44" s="103">
        <v>14.543613679062155</v>
      </c>
    </row>
    <row r="45" spans="1:14" x14ac:dyDescent="0.2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4" x14ac:dyDescent="0.2">
      <c r="A46" s="6" t="s">
        <v>30</v>
      </c>
      <c r="B46" s="9"/>
      <c r="C46" s="9"/>
      <c r="D46" s="9"/>
      <c r="E46" s="9"/>
      <c r="F46" s="9"/>
      <c r="G46" s="9"/>
      <c r="H46" s="9"/>
      <c r="I46" s="9"/>
      <c r="J46" s="9"/>
    </row>
    <row r="47" spans="1:14" x14ac:dyDescent="0.2">
      <c r="A47" s="6" t="s">
        <v>31</v>
      </c>
      <c r="B47" s="9"/>
      <c r="C47" s="9"/>
      <c r="D47" s="9"/>
      <c r="E47" s="9"/>
      <c r="F47" s="9"/>
      <c r="G47" s="9"/>
      <c r="H47" s="9"/>
      <c r="I47" s="9"/>
      <c r="J47" s="9"/>
    </row>
    <row r="48" spans="1:14" x14ac:dyDescent="0.2">
      <c r="A48" s="6" t="s">
        <v>32</v>
      </c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">
      <c r="A49" s="6" t="s">
        <v>33</v>
      </c>
      <c r="B49" s="9"/>
      <c r="C49" s="9"/>
      <c r="D49" s="9"/>
      <c r="E49" s="9"/>
      <c r="F49" s="9"/>
      <c r="G49" s="9"/>
      <c r="H49" s="9"/>
      <c r="I49" s="9"/>
      <c r="J49" s="9"/>
    </row>
    <row r="50" spans="1:10" x14ac:dyDescent="0.2">
      <c r="A50" s="6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">
      <c r="A51" s="6" t="s">
        <v>68</v>
      </c>
      <c r="B51" s="9"/>
      <c r="C51" s="9"/>
      <c r="D51" s="9"/>
      <c r="E51" s="9"/>
      <c r="F51" s="9"/>
      <c r="G51" s="9"/>
      <c r="H51" s="9"/>
      <c r="I51" s="9"/>
      <c r="J51" s="9"/>
    </row>
    <row r="52" spans="1:10" x14ac:dyDescent="0.2">
      <c r="A52" s="9" t="str">
        <f>VLOOKUP("&lt;aktualisierung&gt;",Uebersetzungen!$B$3:$E$193,Uebersetzungen!$B$2+1,FALSE)</f>
        <v>Letztmals aktualisiert am: 27.01.2025</v>
      </c>
      <c r="B52" s="9"/>
      <c r="C52" s="9"/>
      <c r="D52" s="9"/>
      <c r="E52" s="9"/>
      <c r="F52" s="9"/>
      <c r="G52" s="9"/>
      <c r="H52" s="9"/>
      <c r="I52" s="9"/>
      <c r="J52" s="9"/>
    </row>
  </sheetData>
  <sheetProtection sheet="1" objects="1" scenarios="1"/>
  <mergeCells count="15">
    <mergeCell ref="A7:B7"/>
    <mergeCell ref="I13:J13"/>
    <mergeCell ref="K13:L13"/>
    <mergeCell ref="M13:N13"/>
    <mergeCell ref="C12:N12"/>
    <mergeCell ref="A15:B15"/>
    <mergeCell ref="C13:D13"/>
    <mergeCell ref="E13:F13"/>
    <mergeCell ref="G13:H13"/>
    <mergeCell ref="A16:A17"/>
    <mergeCell ref="A18:A20"/>
    <mergeCell ref="A21:A25"/>
    <mergeCell ref="A26:A30"/>
    <mergeCell ref="A31:A33"/>
    <mergeCell ref="A34:A44"/>
  </mergeCells>
  <pageMargins left="0.78740157499999996" right="0.78740157499999996" top="0.984251969" bottom="0.984251969" header="0.5" footer="0.5"/>
  <pageSetup paperSize="9" orientation="portrait" horizontalDpi="4294967292" verticalDpi="4294967292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4</xdr:col>
                    <xdr:colOff>114300</xdr:colOff>
                    <xdr:row>1</xdr:row>
                    <xdr:rowOff>114300</xdr:rowOff>
                  </from>
                  <to>
                    <xdr:col>5</xdr:col>
                    <xdr:colOff>371475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4</xdr:col>
                    <xdr:colOff>114300</xdr:colOff>
                    <xdr:row>2</xdr:row>
                    <xdr:rowOff>104775</xdr:rowOff>
                  </from>
                  <to>
                    <xdr:col>5</xdr:col>
                    <xdr:colOff>771525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4</xdr:col>
                    <xdr:colOff>114300</xdr:colOff>
                    <xdr:row>3</xdr:row>
                    <xdr:rowOff>66675</xdr:rowOff>
                  </from>
                  <to>
                    <xdr:col>5</xdr:col>
                    <xdr:colOff>371475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topLeftCell="A22" workbookViewId="0">
      <selection activeCell="H49" sqref="H49"/>
    </sheetView>
  </sheetViews>
  <sheetFormatPr baseColWidth="10" defaultColWidth="11" defaultRowHeight="12.75" x14ac:dyDescent="0.2"/>
  <cols>
    <col min="1" max="1" width="8.625" style="16" customWidth="1"/>
    <col min="2" max="2" width="26.25" style="16" customWidth="1"/>
    <col min="3" max="5" width="41.375" style="16" customWidth="1"/>
    <col min="6" max="6" width="19.625" style="16" customWidth="1"/>
    <col min="7" max="8" width="11" style="16"/>
    <col min="9" max="9" width="33" style="16" customWidth="1"/>
    <col min="10" max="16384" width="11" style="16"/>
  </cols>
  <sheetData>
    <row r="1" spans="1:6" x14ac:dyDescent="0.2">
      <c r="A1" s="14" t="s">
        <v>73</v>
      </c>
      <c r="B1" s="14" t="s">
        <v>74</v>
      </c>
      <c r="C1" s="14" t="s">
        <v>75</v>
      </c>
      <c r="D1" s="14" t="s">
        <v>76</v>
      </c>
      <c r="E1" s="14" t="s">
        <v>77</v>
      </c>
      <c r="F1" s="15"/>
    </row>
    <row r="2" spans="1:6" x14ac:dyDescent="0.2">
      <c r="A2" s="17" t="s">
        <v>78</v>
      </c>
      <c r="B2" s="18">
        <v>1</v>
      </c>
      <c r="C2" s="18"/>
      <c r="D2" s="18"/>
      <c r="E2" s="18"/>
      <c r="F2" s="15"/>
    </row>
    <row r="3" spans="1:6" x14ac:dyDescent="0.2">
      <c r="A3" s="17"/>
      <c r="B3" s="16" t="s">
        <v>79</v>
      </c>
      <c r="C3" s="16" t="s">
        <v>80</v>
      </c>
      <c r="D3" s="16" t="s">
        <v>81</v>
      </c>
      <c r="E3" s="16" t="s">
        <v>82</v>
      </c>
      <c r="F3" s="15"/>
    </row>
    <row r="4" spans="1:6" x14ac:dyDescent="0.2">
      <c r="A4" s="17" t="s">
        <v>83</v>
      </c>
      <c r="B4" s="16" t="s">
        <v>84</v>
      </c>
      <c r="C4" s="16" t="s">
        <v>274</v>
      </c>
      <c r="D4" s="16" t="s">
        <v>293</v>
      </c>
      <c r="E4" s="16" t="s">
        <v>286</v>
      </c>
      <c r="F4" s="15"/>
    </row>
    <row r="5" spans="1:6" x14ac:dyDescent="0.2">
      <c r="A5" s="17"/>
      <c r="B5" s="16" t="s">
        <v>85</v>
      </c>
      <c r="C5" s="16" t="s">
        <v>72</v>
      </c>
      <c r="D5" s="16" t="s">
        <v>294</v>
      </c>
      <c r="E5" s="16" t="s">
        <v>287</v>
      </c>
      <c r="F5" s="15"/>
    </row>
    <row r="6" spans="1:6" x14ac:dyDescent="0.2">
      <c r="A6" s="17" t="s">
        <v>83</v>
      </c>
      <c r="B6" s="16" t="s">
        <v>86</v>
      </c>
      <c r="C6" s="16" t="s">
        <v>0</v>
      </c>
      <c r="D6" s="16" t="s">
        <v>0</v>
      </c>
      <c r="E6" s="16" t="s">
        <v>87</v>
      </c>
      <c r="F6" s="15"/>
    </row>
    <row r="7" spans="1:6" x14ac:dyDescent="0.2">
      <c r="A7" s="17"/>
      <c r="B7" s="16" t="s">
        <v>88</v>
      </c>
      <c r="C7" s="16" t="s">
        <v>1</v>
      </c>
      <c r="D7" s="16" t="s">
        <v>295</v>
      </c>
      <c r="E7" s="16" t="s">
        <v>271</v>
      </c>
      <c r="F7" s="15"/>
    </row>
    <row r="8" spans="1:6" x14ac:dyDescent="0.2">
      <c r="A8" s="17"/>
      <c r="B8" s="16" t="s">
        <v>89</v>
      </c>
      <c r="C8" s="16" t="s">
        <v>2</v>
      </c>
      <c r="D8" s="16" t="s">
        <v>296</v>
      </c>
      <c r="E8" s="16" t="s">
        <v>288</v>
      </c>
      <c r="F8" s="15"/>
    </row>
    <row r="9" spans="1:6" x14ac:dyDescent="0.2">
      <c r="A9" s="17"/>
      <c r="B9" s="16" t="s">
        <v>92</v>
      </c>
      <c r="C9" s="16" t="s">
        <v>3</v>
      </c>
      <c r="D9" s="16" t="s">
        <v>297</v>
      </c>
      <c r="E9" s="16" t="s">
        <v>289</v>
      </c>
      <c r="F9" s="15"/>
    </row>
    <row r="10" spans="1:6" x14ac:dyDescent="0.2">
      <c r="A10" s="17"/>
      <c r="B10" s="16" t="s">
        <v>93</v>
      </c>
      <c r="C10" s="16" t="s">
        <v>4</v>
      </c>
      <c r="D10" s="16" t="s">
        <v>298</v>
      </c>
      <c r="E10" s="16" t="s">
        <v>290</v>
      </c>
      <c r="F10" s="15"/>
    </row>
    <row r="11" spans="1:6" x14ac:dyDescent="0.2">
      <c r="A11" s="17"/>
      <c r="B11" s="16" t="s">
        <v>94</v>
      </c>
      <c r="C11" s="16" t="s">
        <v>5</v>
      </c>
      <c r="D11" s="16" t="s">
        <v>299</v>
      </c>
      <c r="E11" s="16" t="s">
        <v>291</v>
      </c>
      <c r="F11" s="15"/>
    </row>
    <row r="12" spans="1:6" x14ac:dyDescent="0.2">
      <c r="A12" s="17"/>
      <c r="B12" s="15"/>
      <c r="C12" s="15"/>
      <c r="D12" s="15"/>
      <c r="E12" s="15"/>
      <c r="F12" s="15"/>
    </row>
    <row r="13" spans="1:6" x14ac:dyDescent="0.2">
      <c r="A13" s="17"/>
      <c r="B13" s="16" t="s">
        <v>98</v>
      </c>
      <c r="C13" s="16" t="s">
        <v>6</v>
      </c>
      <c r="D13" s="16" t="s">
        <v>99</v>
      </c>
      <c r="E13" s="16" t="s">
        <v>100</v>
      </c>
      <c r="F13" s="15"/>
    </row>
    <row r="14" spans="1:6" x14ac:dyDescent="0.2">
      <c r="A14" s="17"/>
      <c r="B14" s="16" t="s">
        <v>101</v>
      </c>
      <c r="C14" s="16" t="s">
        <v>102</v>
      </c>
      <c r="D14" s="16" t="s">
        <v>103</v>
      </c>
      <c r="E14" s="16" t="s">
        <v>104</v>
      </c>
      <c r="F14" s="15"/>
    </row>
    <row r="15" spans="1:6" x14ac:dyDescent="0.2">
      <c r="A15" s="17"/>
      <c r="B15" s="15"/>
      <c r="C15" s="15"/>
      <c r="D15" s="15"/>
      <c r="E15" s="15"/>
      <c r="F15" s="15"/>
    </row>
    <row r="16" spans="1:6" x14ac:dyDescent="0.2">
      <c r="A16" s="17" t="s">
        <v>105</v>
      </c>
      <c r="B16" s="16" t="s">
        <v>106</v>
      </c>
      <c r="C16" s="16" t="s">
        <v>0</v>
      </c>
      <c r="D16" s="16" t="s">
        <v>0</v>
      </c>
      <c r="E16" s="16" t="s">
        <v>87</v>
      </c>
      <c r="F16" s="15"/>
    </row>
    <row r="17" spans="1:6" x14ac:dyDescent="0.2">
      <c r="A17" s="15"/>
      <c r="B17" s="16" t="s">
        <v>107</v>
      </c>
      <c r="C17" s="16" t="s">
        <v>7</v>
      </c>
      <c r="D17" s="16" t="s">
        <v>108</v>
      </c>
      <c r="E17" s="16" t="s">
        <v>109</v>
      </c>
      <c r="F17" s="15"/>
    </row>
    <row r="18" spans="1:6" x14ac:dyDescent="0.2">
      <c r="A18" s="17"/>
      <c r="B18" s="15"/>
      <c r="C18" s="15"/>
      <c r="D18" s="15"/>
      <c r="E18" s="15"/>
      <c r="F18" s="15"/>
    </row>
    <row r="19" spans="1:6" x14ac:dyDescent="0.2">
      <c r="A19" s="15"/>
      <c r="B19" s="16" t="s">
        <v>110</v>
      </c>
      <c r="C19" s="16" t="s">
        <v>8</v>
      </c>
      <c r="D19" s="16" t="s">
        <v>111</v>
      </c>
      <c r="E19" s="16" t="s">
        <v>112</v>
      </c>
      <c r="F19" s="15"/>
    </row>
    <row r="20" spans="1:6" x14ac:dyDescent="0.2">
      <c r="A20" s="15"/>
      <c r="B20" s="16" t="s">
        <v>113</v>
      </c>
      <c r="C20" s="16" t="s">
        <v>65</v>
      </c>
      <c r="D20" s="16" t="s">
        <v>114</v>
      </c>
      <c r="E20" s="16" t="s">
        <v>114</v>
      </c>
      <c r="F20" s="15"/>
    </row>
    <row r="21" spans="1:6" x14ac:dyDescent="0.2">
      <c r="A21" s="15"/>
      <c r="B21" s="16" t="s">
        <v>115</v>
      </c>
      <c r="C21" s="16" t="s">
        <v>9</v>
      </c>
      <c r="D21" s="16" t="s">
        <v>116</v>
      </c>
      <c r="E21" s="16" t="s">
        <v>116</v>
      </c>
      <c r="F21" s="15"/>
    </row>
    <row r="22" spans="1:6" x14ac:dyDescent="0.2">
      <c r="A22" s="15"/>
      <c r="B22" s="16" t="s">
        <v>117</v>
      </c>
      <c r="C22" s="16" t="s">
        <v>10</v>
      </c>
      <c r="D22" s="16" t="s">
        <v>10</v>
      </c>
      <c r="E22" s="16" t="s">
        <v>10</v>
      </c>
      <c r="F22" s="15"/>
    </row>
    <row r="23" spans="1:6" x14ac:dyDescent="0.2">
      <c r="A23" s="15"/>
      <c r="B23" s="16" t="s">
        <v>118</v>
      </c>
      <c r="C23" s="16" t="s">
        <v>11</v>
      </c>
      <c r="D23" s="16" t="s">
        <v>119</v>
      </c>
      <c r="E23" s="16" t="s">
        <v>120</v>
      </c>
      <c r="F23" s="15"/>
    </row>
    <row r="24" spans="1:6" x14ac:dyDescent="0.2">
      <c r="A24" s="15"/>
      <c r="B24" s="16" t="s">
        <v>121</v>
      </c>
      <c r="C24" s="16" t="s">
        <v>12</v>
      </c>
      <c r="D24" s="16" t="s">
        <v>122</v>
      </c>
      <c r="E24" s="16" t="s">
        <v>123</v>
      </c>
      <c r="F24" s="15"/>
    </row>
    <row r="25" spans="1:6" x14ac:dyDescent="0.2">
      <c r="A25" s="15"/>
      <c r="B25" s="16" t="s">
        <v>124</v>
      </c>
      <c r="C25" s="16" t="s">
        <v>13</v>
      </c>
      <c r="D25" s="16" t="s">
        <v>125</v>
      </c>
      <c r="E25" s="16" t="s">
        <v>126</v>
      </c>
      <c r="F25" s="15"/>
    </row>
    <row r="26" spans="1:6" x14ac:dyDescent="0.2">
      <c r="A26" s="15"/>
      <c r="B26" s="16" t="s">
        <v>127</v>
      </c>
      <c r="C26" s="16" t="s">
        <v>14</v>
      </c>
      <c r="D26" s="16" t="s">
        <v>128</v>
      </c>
      <c r="E26" s="16" t="s">
        <v>129</v>
      </c>
      <c r="F26" s="15"/>
    </row>
    <row r="27" spans="1:6" x14ac:dyDescent="0.2">
      <c r="A27" s="15"/>
      <c r="B27" s="16" t="s">
        <v>130</v>
      </c>
      <c r="C27" s="16" t="s">
        <v>15</v>
      </c>
      <c r="D27" s="16" t="s">
        <v>15</v>
      </c>
      <c r="E27" s="16" t="s">
        <v>131</v>
      </c>
      <c r="F27" s="15"/>
    </row>
    <row r="28" spans="1:6" x14ac:dyDescent="0.2">
      <c r="A28" s="15"/>
      <c r="B28" s="16" t="s">
        <v>132</v>
      </c>
      <c r="C28" s="16" t="s">
        <v>66</v>
      </c>
      <c r="D28" s="16" t="s">
        <v>133</v>
      </c>
      <c r="E28" s="16" t="s">
        <v>134</v>
      </c>
      <c r="F28" s="15"/>
    </row>
    <row r="29" spans="1:6" x14ac:dyDescent="0.2">
      <c r="A29" s="15"/>
      <c r="B29" s="16" t="s">
        <v>135</v>
      </c>
      <c r="C29" s="16" t="s">
        <v>16</v>
      </c>
      <c r="D29" s="16" t="s">
        <v>136</v>
      </c>
      <c r="E29" s="16" t="s">
        <v>137</v>
      </c>
      <c r="F29" s="15"/>
    </row>
    <row r="30" spans="1:6" x14ac:dyDescent="0.2">
      <c r="A30" s="15"/>
      <c r="B30" s="16" t="s">
        <v>138</v>
      </c>
      <c r="C30" s="16" t="s">
        <v>17</v>
      </c>
      <c r="D30" s="16" t="s">
        <v>139</v>
      </c>
      <c r="E30" s="16" t="s">
        <v>140</v>
      </c>
      <c r="F30" s="15"/>
    </row>
    <row r="31" spans="1:6" x14ac:dyDescent="0.2">
      <c r="A31" s="15"/>
      <c r="B31" s="16" t="s">
        <v>141</v>
      </c>
      <c r="C31" s="16" t="s">
        <v>18</v>
      </c>
      <c r="D31" s="16" t="s">
        <v>142</v>
      </c>
      <c r="E31" s="16" t="s">
        <v>143</v>
      </c>
      <c r="F31" s="15"/>
    </row>
    <row r="32" spans="1:6" x14ac:dyDescent="0.2">
      <c r="A32" s="15"/>
      <c r="B32" s="16" t="s">
        <v>144</v>
      </c>
      <c r="C32" s="16" t="s">
        <v>19</v>
      </c>
      <c r="D32" s="16" t="s">
        <v>145</v>
      </c>
      <c r="E32" s="16" t="s">
        <v>146</v>
      </c>
      <c r="F32" s="15"/>
    </row>
    <row r="33" spans="1:6" x14ac:dyDescent="0.2">
      <c r="A33" s="15"/>
      <c r="B33" s="16" t="s">
        <v>147</v>
      </c>
      <c r="C33" s="16" t="s">
        <v>20</v>
      </c>
      <c r="D33" s="16" t="s">
        <v>148</v>
      </c>
      <c r="E33" s="16" t="s">
        <v>149</v>
      </c>
      <c r="F33" s="15"/>
    </row>
    <row r="34" spans="1:6" x14ac:dyDescent="0.2">
      <c r="A34" s="15"/>
      <c r="B34" s="16" t="s">
        <v>150</v>
      </c>
      <c r="C34" s="16" t="s">
        <v>21</v>
      </c>
      <c r="D34" s="16" t="s">
        <v>151</v>
      </c>
      <c r="E34" s="16" t="s">
        <v>152</v>
      </c>
      <c r="F34" s="15"/>
    </row>
    <row r="35" spans="1:6" x14ac:dyDescent="0.2">
      <c r="A35" s="15"/>
      <c r="B35" s="16" t="s">
        <v>153</v>
      </c>
      <c r="C35" s="16" t="s">
        <v>22</v>
      </c>
      <c r="D35" s="16" t="s">
        <v>154</v>
      </c>
      <c r="E35" s="16" t="s">
        <v>155</v>
      </c>
      <c r="F35" s="15"/>
    </row>
    <row r="36" spans="1:6" x14ac:dyDescent="0.2">
      <c r="A36" s="15"/>
      <c r="B36" s="16" t="s">
        <v>156</v>
      </c>
      <c r="C36" s="16" t="s">
        <v>64</v>
      </c>
      <c r="D36" s="16" t="s">
        <v>157</v>
      </c>
      <c r="E36" s="16" t="s">
        <v>158</v>
      </c>
      <c r="F36" s="15"/>
    </row>
    <row r="37" spans="1:6" x14ac:dyDescent="0.2">
      <c r="A37" s="15"/>
      <c r="B37" s="16" t="s">
        <v>159</v>
      </c>
      <c r="C37" s="16" t="s">
        <v>23</v>
      </c>
      <c r="D37" s="16" t="s">
        <v>160</v>
      </c>
      <c r="E37" s="16" t="s">
        <v>160</v>
      </c>
      <c r="F37" s="15"/>
    </row>
    <row r="38" spans="1:6" x14ac:dyDescent="0.2">
      <c r="A38" s="15"/>
      <c r="B38" s="16" t="s">
        <v>161</v>
      </c>
      <c r="C38" s="16" t="s">
        <v>24</v>
      </c>
      <c r="D38" s="16" t="s">
        <v>162</v>
      </c>
      <c r="E38" s="16" t="s">
        <v>162</v>
      </c>
      <c r="F38" s="15"/>
    </row>
    <row r="39" spans="1:6" x14ac:dyDescent="0.2">
      <c r="A39" s="15"/>
      <c r="B39" s="16" t="s">
        <v>163</v>
      </c>
      <c r="C39" s="16" t="s">
        <v>25</v>
      </c>
      <c r="D39" s="16" t="s">
        <v>164</v>
      </c>
      <c r="E39" s="16" t="s">
        <v>25</v>
      </c>
      <c r="F39" s="15"/>
    </row>
    <row r="40" spans="1:6" x14ac:dyDescent="0.2">
      <c r="A40" s="15"/>
      <c r="B40" s="16" t="s">
        <v>165</v>
      </c>
      <c r="C40" s="16" t="s">
        <v>26</v>
      </c>
      <c r="D40" s="16" t="s">
        <v>166</v>
      </c>
      <c r="E40" s="16" t="s">
        <v>26</v>
      </c>
      <c r="F40" s="15"/>
    </row>
    <row r="41" spans="1:6" x14ac:dyDescent="0.2">
      <c r="A41" s="15"/>
      <c r="B41" s="16" t="s">
        <v>167</v>
      </c>
      <c r="C41" s="16" t="s">
        <v>67</v>
      </c>
      <c r="D41" s="16" t="s">
        <v>168</v>
      </c>
      <c r="E41" s="16" t="s">
        <v>169</v>
      </c>
      <c r="F41" s="15"/>
    </row>
    <row r="42" spans="1:6" x14ac:dyDescent="0.2">
      <c r="A42" s="15"/>
      <c r="B42" s="16" t="s">
        <v>170</v>
      </c>
      <c r="C42" s="16" t="s">
        <v>27</v>
      </c>
      <c r="D42" s="16" t="s">
        <v>27</v>
      </c>
      <c r="E42" s="16" t="s">
        <v>27</v>
      </c>
      <c r="F42" s="15"/>
    </row>
    <row r="43" spans="1:6" x14ac:dyDescent="0.2">
      <c r="A43" s="15"/>
      <c r="B43" s="16" t="s">
        <v>171</v>
      </c>
      <c r="C43" s="16" t="s">
        <v>28</v>
      </c>
      <c r="D43" s="16" t="s">
        <v>172</v>
      </c>
      <c r="E43" s="16" t="s">
        <v>173</v>
      </c>
      <c r="F43" s="15"/>
    </row>
    <row r="44" spans="1:6" x14ac:dyDescent="0.2">
      <c r="A44" s="15"/>
      <c r="B44" s="16" t="s">
        <v>174</v>
      </c>
      <c r="C44" s="16" t="s">
        <v>29</v>
      </c>
      <c r="D44" s="16" t="s">
        <v>175</v>
      </c>
      <c r="E44" s="16" t="s">
        <v>175</v>
      </c>
      <c r="F44" s="15"/>
    </row>
    <row r="45" spans="1:6" x14ac:dyDescent="0.2">
      <c r="A45" s="15"/>
      <c r="B45" s="15"/>
      <c r="C45" s="15"/>
      <c r="D45" s="15"/>
      <c r="E45" s="15"/>
      <c r="F45" s="15"/>
    </row>
    <row r="46" spans="1:6" ht="38.25" x14ac:dyDescent="0.2">
      <c r="A46" s="17" t="s">
        <v>83</v>
      </c>
      <c r="B46" s="16" t="s">
        <v>176</v>
      </c>
      <c r="C46" s="16" t="s">
        <v>30</v>
      </c>
      <c r="D46" s="16" t="s">
        <v>177</v>
      </c>
      <c r="E46" s="16" t="s">
        <v>178</v>
      </c>
      <c r="F46" s="15"/>
    </row>
    <row r="47" spans="1:6" ht="38.25" x14ac:dyDescent="0.2">
      <c r="A47" s="15"/>
      <c r="B47" s="16" t="s">
        <v>179</v>
      </c>
      <c r="C47" s="16" t="s">
        <v>31</v>
      </c>
      <c r="D47" s="16" t="s">
        <v>180</v>
      </c>
      <c r="E47" s="16" t="s">
        <v>181</v>
      </c>
      <c r="F47" s="15"/>
    </row>
    <row r="48" spans="1:6" ht="51" x14ac:dyDescent="0.2">
      <c r="A48" s="15"/>
      <c r="B48" s="16" t="s">
        <v>182</v>
      </c>
      <c r="C48" s="16" t="s">
        <v>32</v>
      </c>
      <c r="D48" s="16" t="s">
        <v>183</v>
      </c>
      <c r="E48" s="16" t="s">
        <v>184</v>
      </c>
      <c r="F48" s="15"/>
    </row>
    <row r="49" spans="1:6" ht="51" x14ac:dyDescent="0.2">
      <c r="A49" s="15"/>
      <c r="B49" s="16" t="s">
        <v>185</v>
      </c>
      <c r="C49" s="16" t="s">
        <v>33</v>
      </c>
      <c r="D49" s="16" t="s">
        <v>186</v>
      </c>
      <c r="E49" s="16" t="s">
        <v>187</v>
      </c>
      <c r="F49" s="15"/>
    </row>
    <row r="50" spans="1:6" x14ac:dyDescent="0.2">
      <c r="A50" s="15"/>
      <c r="B50" s="15"/>
      <c r="C50" s="15"/>
      <c r="D50" s="15"/>
      <c r="E50" s="15"/>
      <c r="F50" s="15"/>
    </row>
    <row r="51" spans="1:6" x14ac:dyDescent="0.2">
      <c r="A51" s="15"/>
      <c r="B51" s="16" t="s">
        <v>188</v>
      </c>
      <c r="C51" s="16" t="s">
        <v>68</v>
      </c>
      <c r="D51" s="16" t="s">
        <v>189</v>
      </c>
      <c r="E51" s="16" t="s">
        <v>190</v>
      </c>
      <c r="F51" s="15"/>
    </row>
    <row r="52" spans="1:6" x14ac:dyDescent="0.2">
      <c r="A52" s="15" t="s">
        <v>105</v>
      </c>
      <c r="B52" s="19" t="s">
        <v>191</v>
      </c>
      <c r="C52" s="19" t="s">
        <v>311</v>
      </c>
      <c r="D52" s="19" t="s">
        <v>312</v>
      </c>
      <c r="E52" s="19" t="s">
        <v>313</v>
      </c>
      <c r="F52" s="15"/>
    </row>
    <row r="53" spans="1:6" x14ac:dyDescent="0.2">
      <c r="A53" s="15"/>
      <c r="B53" s="15"/>
      <c r="C53" s="15"/>
      <c r="D53" s="15"/>
      <c r="E53" s="15"/>
      <c r="F53" s="15"/>
    </row>
    <row r="54" spans="1:6" x14ac:dyDescent="0.2">
      <c r="A54" s="17"/>
      <c r="B54" s="18"/>
      <c r="C54" s="18"/>
      <c r="D54" s="18"/>
      <c r="E54" s="18"/>
      <c r="F54" s="15"/>
    </row>
    <row r="55" spans="1:6" ht="25.5" x14ac:dyDescent="0.2">
      <c r="A55" s="15" t="s">
        <v>192</v>
      </c>
      <c r="B55" s="16" t="s">
        <v>193</v>
      </c>
      <c r="C55" s="16" t="s">
        <v>275</v>
      </c>
      <c r="D55" s="16" t="s">
        <v>300</v>
      </c>
      <c r="E55" s="16" t="s">
        <v>309</v>
      </c>
      <c r="F55" s="15"/>
    </row>
    <row r="56" spans="1:6" x14ac:dyDescent="0.2">
      <c r="A56" s="17"/>
      <c r="B56" s="18"/>
      <c r="C56" s="18"/>
      <c r="D56" s="18"/>
      <c r="E56" s="18"/>
      <c r="F56" s="15"/>
    </row>
    <row r="57" spans="1:6" x14ac:dyDescent="0.2">
      <c r="A57" s="17" t="s">
        <v>192</v>
      </c>
      <c r="B57" s="16" t="s">
        <v>194</v>
      </c>
      <c r="C57" s="16" t="s">
        <v>0</v>
      </c>
      <c r="D57" s="16" t="s">
        <v>0</v>
      </c>
      <c r="E57" s="16" t="s">
        <v>87</v>
      </c>
      <c r="F57" s="15"/>
    </row>
    <row r="58" spans="1:6" x14ac:dyDescent="0.2">
      <c r="A58" s="15"/>
      <c r="B58" s="16" t="s">
        <v>195</v>
      </c>
      <c r="C58" s="16" t="s">
        <v>34</v>
      </c>
      <c r="D58" s="16" t="s">
        <v>301</v>
      </c>
      <c r="E58" s="16" t="s">
        <v>196</v>
      </c>
      <c r="F58" s="15"/>
    </row>
    <row r="59" spans="1:6" x14ac:dyDescent="0.2">
      <c r="A59" s="15"/>
      <c r="B59" s="16" t="s">
        <v>197</v>
      </c>
      <c r="C59" s="16" t="s">
        <v>37</v>
      </c>
      <c r="D59" s="16" t="s">
        <v>302</v>
      </c>
      <c r="E59" s="16" t="s">
        <v>198</v>
      </c>
      <c r="F59" s="15"/>
    </row>
    <row r="60" spans="1:6" x14ac:dyDescent="0.2">
      <c r="A60" s="15"/>
      <c r="B60" s="16" t="s">
        <v>199</v>
      </c>
      <c r="C60" s="16" t="s">
        <v>41</v>
      </c>
      <c r="D60" s="16" t="s">
        <v>200</v>
      </c>
      <c r="E60" s="16" t="s">
        <v>201</v>
      </c>
      <c r="F60" s="15"/>
    </row>
    <row r="61" spans="1:6" x14ac:dyDescent="0.2">
      <c r="A61" s="15"/>
      <c r="B61" s="16" t="s">
        <v>202</v>
      </c>
      <c r="C61" s="16" t="s">
        <v>44</v>
      </c>
      <c r="D61" s="16" t="s">
        <v>203</v>
      </c>
      <c r="E61" s="16" t="s">
        <v>204</v>
      </c>
      <c r="F61" s="15"/>
    </row>
    <row r="62" spans="1:6" x14ac:dyDescent="0.2">
      <c r="A62" s="15"/>
      <c r="B62" s="16" t="s">
        <v>205</v>
      </c>
      <c r="C62" s="16" t="s">
        <v>63</v>
      </c>
      <c r="D62" s="16" t="s">
        <v>303</v>
      </c>
      <c r="E62" s="16" t="s">
        <v>292</v>
      </c>
      <c r="F62" s="15"/>
    </row>
    <row r="63" spans="1:6" x14ac:dyDescent="0.2">
      <c r="A63" s="15"/>
      <c r="B63" s="16" t="s">
        <v>208</v>
      </c>
      <c r="C63" s="16" t="s">
        <v>53</v>
      </c>
      <c r="D63" s="16" t="s">
        <v>206</v>
      </c>
      <c r="E63" s="16" t="s">
        <v>207</v>
      </c>
      <c r="F63" s="15"/>
    </row>
    <row r="64" spans="1:6" x14ac:dyDescent="0.2">
      <c r="A64" s="17"/>
      <c r="B64" s="18"/>
      <c r="C64" s="18"/>
      <c r="D64" s="18"/>
      <c r="E64" s="18"/>
      <c r="F64" s="15"/>
    </row>
    <row r="65" spans="1:6" x14ac:dyDescent="0.2">
      <c r="A65" s="15"/>
      <c r="B65" s="16" t="s">
        <v>209</v>
      </c>
      <c r="C65" s="16" t="s">
        <v>35</v>
      </c>
      <c r="D65" s="16" t="s">
        <v>210</v>
      </c>
      <c r="E65" s="16" t="s">
        <v>211</v>
      </c>
      <c r="F65" s="15"/>
    </row>
    <row r="66" spans="1:6" x14ac:dyDescent="0.2">
      <c r="A66" s="15"/>
      <c r="B66" s="16" t="s">
        <v>212</v>
      </c>
      <c r="C66" s="16" t="s">
        <v>36</v>
      </c>
      <c r="D66" s="16" t="s">
        <v>213</v>
      </c>
      <c r="E66" s="16" t="s">
        <v>214</v>
      </c>
      <c r="F66" s="15"/>
    </row>
    <row r="67" spans="1:6" x14ac:dyDescent="0.2">
      <c r="A67" s="15"/>
      <c r="B67" s="16" t="s">
        <v>215</v>
      </c>
      <c r="C67" s="16" t="s">
        <v>38</v>
      </c>
      <c r="D67" s="16" t="s">
        <v>38</v>
      </c>
      <c r="E67" s="16" t="s">
        <v>38</v>
      </c>
      <c r="F67" s="15"/>
    </row>
    <row r="68" spans="1:6" x14ac:dyDescent="0.2">
      <c r="A68" s="15"/>
      <c r="B68" s="16" t="s">
        <v>216</v>
      </c>
      <c r="C68" s="16" t="s">
        <v>39</v>
      </c>
      <c r="D68" s="16" t="s">
        <v>39</v>
      </c>
      <c r="E68" s="16" t="s">
        <v>39</v>
      </c>
      <c r="F68" s="15"/>
    </row>
    <row r="69" spans="1:6" x14ac:dyDescent="0.2">
      <c r="A69" s="15"/>
      <c r="B69" s="16" t="s">
        <v>217</v>
      </c>
      <c r="C69" s="16" t="s">
        <v>40</v>
      </c>
      <c r="D69" s="16" t="s">
        <v>218</v>
      </c>
      <c r="E69" s="16" t="s">
        <v>219</v>
      </c>
      <c r="F69" s="15"/>
    </row>
    <row r="70" spans="1:6" x14ac:dyDescent="0.2">
      <c r="A70" s="15"/>
      <c r="B70" s="16" t="s">
        <v>220</v>
      </c>
      <c r="C70" s="16" t="s">
        <v>42</v>
      </c>
      <c r="D70" s="16" t="s">
        <v>221</v>
      </c>
      <c r="E70" s="16" t="s">
        <v>222</v>
      </c>
      <c r="F70" s="15"/>
    </row>
    <row r="71" spans="1:6" x14ac:dyDescent="0.2">
      <c r="A71" s="15"/>
      <c r="B71" s="16" t="s">
        <v>223</v>
      </c>
      <c r="C71" s="16" t="s">
        <v>276</v>
      </c>
      <c r="D71" s="16" t="s">
        <v>304</v>
      </c>
      <c r="E71" s="16" t="s">
        <v>224</v>
      </c>
      <c r="F71" s="15"/>
    </row>
    <row r="72" spans="1:6" x14ac:dyDescent="0.2">
      <c r="A72" s="15"/>
      <c r="B72" s="16" t="s">
        <v>225</v>
      </c>
      <c r="C72" s="16" t="s">
        <v>277</v>
      </c>
      <c r="D72" s="16" t="s">
        <v>305</v>
      </c>
      <c r="E72" s="16" t="s">
        <v>226</v>
      </c>
      <c r="F72" s="15"/>
    </row>
    <row r="73" spans="1:6" x14ac:dyDescent="0.2">
      <c r="A73" s="15"/>
      <c r="B73" s="16" t="s">
        <v>227</v>
      </c>
      <c r="C73" s="16" t="s">
        <v>69</v>
      </c>
      <c r="D73" s="16" t="s">
        <v>308</v>
      </c>
      <c r="E73" s="16" t="s">
        <v>228</v>
      </c>
      <c r="F73" s="15"/>
    </row>
    <row r="74" spans="1:6" x14ac:dyDescent="0.2">
      <c r="A74" s="15"/>
      <c r="B74" s="16" t="s">
        <v>229</v>
      </c>
      <c r="C74" s="16" t="s">
        <v>43</v>
      </c>
      <c r="D74" s="16" t="s">
        <v>230</v>
      </c>
      <c r="E74" s="16" t="s">
        <v>231</v>
      </c>
      <c r="F74" s="15"/>
    </row>
    <row r="75" spans="1:6" x14ac:dyDescent="0.2">
      <c r="A75" s="15"/>
      <c r="B75" s="16" t="s">
        <v>232</v>
      </c>
      <c r="C75" s="16" t="s">
        <v>45</v>
      </c>
      <c r="D75" s="16" t="s">
        <v>233</v>
      </c>
      <c r="E75" s="16" t="s">
        <v>234</v>
      </c>
      <c r="F75" s="15"/>
    </row>
    <row r="76" spans="1:6" x14ac:dyDescent="0.2">
      <c r="A76" s="15"/>
      <c r="B76" s="16" t="s">
        <v>235</v>
      </c>
      <c r="C76" s="16" t="s">
        <v>46</v>
      </c>
      <c r="D76" s="16" t="s">
        <v>236</v>
      </c>
      <c r="E76" s="16" t="s">
        <v>237</v>
      </c>
      <c r="F76" s="15"/>
    </row>
    <row r="77" spans="1:6" x14ac:dyDescent="0.2">
      <c r="A77" s="15"/>
      <c r="B77" s="16" t="s">
        <v>238</v>
      </c>
      <c r="C77" s="16" t="s">
        <v>47</v>
      </c>
      <c r="D77" s="16" t="s">
        <v>239</v>
      </c>
      <c r="E77" s="16" t="s">
        <v>240</v>
      </c>
      <c r="F77" s="15"/>
    </row>
    <row r="78" spans="1:6" ht="25.5" x14ac:dyDescent="0.2">
      <c r="A78" s="15"/>
      <c r="B78" s="16" t="s">
        <v>241</v>
      </c>
      <c r="C78" s="16" t="s">
        <v>48</v>
      </c>
      <c r="D78" s="16" t="s">
        <v>242</v>
      </c>
      <c r="E78" s="16" t="s">
        <v>243</v>
      </c>
      <c r="F78" s="15"/>
    </row>
    <row r="79" spans="1:6" x14ac:dyDescent="0.2">
      <c r="A79" s="15"/>
      <c r="B79" s="16" t="s">
        <v>244</v>
      </c>
      <c r="C79" s="16" t="s">
        <v>49</v>
      </c>
      <c r="D79" s="16" t="s">
        <v>245</v>
      </c>
      <c r="E79" s="16" t="s">
        <v>246</v>
      </c>
      <c r="F79" s="15"/>
    </row>
    <row r="80" spans="1:6" x14ac:dyDescent="0.2">
      <c r="A80" s="15"/>
      <c r="B80" s="16" t="s">
        <v>247</v>
      </c>
      <c r="C80" s="16" t="s">
        <v>50</v>
      </c>
      <c r="D80" s="16" t="s">
        <v>90</v>
      </c>
      <c r="E80" s="16" t="s">
        <v>91</v>
      </c>
      <c r="F80" s="15"/>
    </row>
    <row r="81" spans="1:6" x14ac:dyDescent="0.2">
      <c r="A81" s="15"/>
      <c r="B81" s="16" t="s">
        <v>250</v>
      </c>
      <c r="C81" s="16" t="s">
        <v>51</v>
      </c>
      <c r="D81" s="16" t="s">
        <v>95</v>
      </c>
      <c r="E81" s="16" t="s">
        <v>96</v>
      </c>
      <c r="F81" s="15"/>
    </row>
    <row r="82" spans="1:6" x14ac:dyDescent="0.2">
      <c r="A82" s="15"/>
      <c r="B82" s="16" t="s">
        <v>253</v>
      </c>
      <c r="C82" s="16" t="s">
        <v>52</v>
      </c>
      <c r="D82" s="16" t="s">
        <v>95</v>
      </c>
      <c r="E82" s="16" t="s">
        <v>97</v>
      </c>
      <c r="F82" s="15"/>
    </row>
    <row r="83" spans="1:6" x14ac:dyDescent="0.2">
      <c r="A83" s="15"/>
      <c r="B83" s="16" t="s">
        <v>270</v>
      </c>
      <c r="C83" s="16" t="s">
        <v>54</v>
      </c>
      <c r="D83" s="16" t="s">
        <v>248</v>
      </c>
      <c r="E83" s="16" t="s">
        <v>249</v>
      </c>
      <c r="F83" s="15"/>
    </row>
    <row r="84" spans="1:6" x14ac:dyDescent="0.2">
      <c r="A84" s="15"/>
      <c r="B84" s="16" t="s">
        <v>272</v>
      </c>
      <c r="C84" s="16" t="s">
        <v>55</v>
      </c>
      <c r="D84" s="16" t="s">
        <v>251</v>
      </c>
      <c r="E84" s="16" t="s">
        <v>252</v>
      </c>
      <c r="F84" s="15"/>
    </row>
    <row r="85" spans="1:6" x14ac:dyDescent="0.2">
      <c r="A85" s="15"/>
      <c r="B85" s="16" t="s">
        <v>273</v>
      </c>
      <c r="C85" s="16" t="s">
        <v>56</v>
      </c>
      <c r="D85" s="16" t="s">
        <v>254</v>
      </c>
      <c r="E85" s="16" t="s">
        <v>255</v>
      </c>
      <c r="F85" s="15"/>
    </row>
    <row r="86" spans="1:6" x14ac:dyDescent="0.2">
      <c r="A86" s="15"/>
      <c r="B86" s="16" t="s">
        <v>278</v>
      </c>
      <c r="C86" s="16" t="s">
        <v>57</v>
      </c>
      <c r="D86" s="16" t="s">
        <v>256</v>
      </c>
      <c r="E86" s="16" t="s">
        <v>257</v>
      </c>
      <c r="F86" s="15"/>
    </row>
    <row r="87" spans="1:6" x14ac:dyDescent="0.2">
      <c r="A87" s="15"/>
      <c r="B87" s="16" t="s">
        <v>279</v>
      </c>
      <c r="C87" s="16" t="s">
        <v>58</v>
      </c>
      <c r="D87" s="16" t="s">
        <v>258</v>
      </c>
      <c r="E87" s="16" t="s">
        <v>259</v>
      </c>
      <c r="F87" s="15"/>
    </row>
    <row r="88" spans="1:6" x14ac:dyDescent="0.2">
      <c r="A88" s="15"/>
      <c r="B88" s="16" t="s">
        <v>280</v>
      </c>
      <c r="C88" s="16" t="s">
        <v>59</v>
      </c>
      <c r="D88" s="16" t="s">
        <v>260</v>
      </c>
      <c r="E88" s="16" t="s">
        <v>261</v>
      </c>
      <c r="F88" s="15"/>
    </row>
    <row r="89" spans="1:6" x14ac:dyDescent="0.2">
      <c r="A89" s="15"/>
      <c r="B89" s="16" t="s">
        <v>281</v>
      </c>
      <c r="C89" s="16" t="s">
        <v>60</v>
      </c>
      <c r="D89" s="16" t="s">
        <v>262</v>
      </c>
      <c r="E89" s="16" t="s">
        <v>263</v>
      </c>
      <c r="F89" s="15"/>
    </row>
    <row r="90" spans="1:6" x14ac:dyDescent="0.2">
      <c r="A90" s="15"/>
      <c r="B90" s="16" t="s">
        <v>282</v>
      </c>
      <c r="C90" s="16" t="s">
        <v>70</v>
      </c>
      <c r="D90" s="16" t="s">
        <v>306</v>
      </c>
      <c r="E90" s="16" t="s">
        <v>264</v>
      </c>
      <c r="F90" s="15"/>
    </row>
    <row r="91" spans="1:6" ht="25.5" x14ac:dyDescent="0.2">
      <c r="A91" s="15"/>
      <c r="B91" s="16" t="s">
        <v>283</v>
      </c>
      <c r="C91" s="16" t="s">
        <v>61</v>
      </c>
      <c r="D91" s="16" t="s">
        <v>265</v>
      </c>
      <c r="E91" s="16" t="s">
        <v>266</v>
      </c>
      <c r="F91" s="15"/>
    </row>
    <row r="92" spans="1:6" ht="38.25" x14ac:dyDescent="0.2">
      <c r="A92" s="15"/>
      <c r="B92" s="16" t="s">
        <v>284</v>
      </c>
      <c r="C92" s="16" t="s">
        <v>71</v>
      </c>
      <c r="D92" s="16" t="s">
        <v>307</v>
      </c>
      <c r="E92" s="16" t="s">
        <v>267</v>
      </c>
      <c r="F92" s="15"/>
    </row>
    <row r="93" spans="1:6" ht="25.5" x14ac:dyDescent="0.2">
      <c r="A93" s="15"/>
      <c r="B93" s="16" t="s">
        <v>285</v>
      </c>
      <c r="C93" s="16" t="s">
        <v>62</v>
      </c>
      <c r="D93" s="16" t="s">
        <v>268</v>
      </c>
      <c r="E93" s="16" t="s">
        <v>269</v>
      </c>
      <c r="F93" s="15"/>
    </row>
    <row r="94" spans="1:6" x14ac:dyDescent="0.2">
      <c r="A94" s="28"/>
      <c r="B94" s="28"/>
      <c r="C94" s="28"/>
      <c r="D94" s="28"/>
      <c r="E94" s="28"/>
      <c r="F94" s="28"/>
    </row>
    <row r="95" spans="1:6" x14ac:dyDescent="0.2">
      <c r="A95" s="28"/>
      <c r="B95" s="28"/>
      <c r="C95" s="28"/>
      <c r="D95" s="28"/>
      <c r="E95" s="28"/>
      <c r="F95" s="28"/>
    </row>
    <row r="96" spans="1:6" x14ac:dyDescent="0.2">
      <c r="A96" s="29"/>
      <c r="B96" s="29"/>
      <c r="C96" s="29"/>
      <c r="D96" s="29"/>
      <c r="E96" s="29"/>
      <c r="F96" s="29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33F42C86C3B544A091947C70CD57DC" ma:contentTypeVersion="6" ma:contentTypeDescription="Ein neues Dokument erstellen." ma:contentTypeScope="" ma:versionID="558fd0407b328572d1a10c4cab466487">
  <xsd:schema xmlns:xsd="http://www.w3.org/2001/XMLSchema" xmlns:xs="http://www.w3.org/2001/XMLSchema" xmlns:p="http://schemas.microsoft.com/office/2006/metadata/properties" xmlns:ns1="http://schemas.microsoft.com/sharepoint/v3" xmlns:ns2="b96e8123-d0de-41b8-8f0e-5f199e705244" targetNamespace="http://schemas.microsoft.com/office/2006/metadata/properties" ma:root="true" ma:fieldsID="3eed3cccc78757909b7e367c3f1bbb98" ns1:_="" ns2:_="">
    <xsd:import namespace="http://schemas.microsoft.com/sharepoint/v3"/>
    <xsd:import namespace="b96e8123-d0de-41b8-8f0e-5f199e7052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e8123-d0de-41b8-8f0e-5f199e705244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el_RM xmlns="b96e8123-d0de-41b8-8f0e-5f199e705244">Enquista da structura davart la populaziun permanenta tenor la scolaziun la pli auta terminada, 2023</Titel_RM>
    <Titel_DE xmlns="b96e8123-d0de-41b8-8f0e-5f199e705244">Strukturerhebung Ständige Wohnbevölkerung nach höchster abgeschlossener Ausbildung, 2023</Titel_DE>
    <Titel_IT xmlns="b96e8123-d0de-41b8-8f0e-5f199e705244">Rilevazione strutturale della popolazione residente permanente per formazione più elevata conclusa, 2023</Titel_IT>
    <Kategorie xmlns="b96e8123-d0de-41b8-8f0e-5f199e705244">15 Bildung, Wissenschaft</Kategorie>
    <PublishingExpirationDate xmlns="http://schemas.microsoft.com/sharepoint/v3" xsi:nil="true"/>
    <PublishingStartDate xmlns="http://schemas.microsoft.com/sharepoint/v3" xsi:nil="true"/>
    <Benutzerdefinierte_x0020_ID xmlns="b96e8123-d0de-41b8-8f0e-5f199e705244">1002</Benutzerdefinierte_x0020_ID>
  </documentManagement>
</p:properties>
</file>

<file path=customXml/itemProps1.xml><?xml version="1.0" encoding="utf-8"?>
<ds:datastoreItem xmlns:ds="http://schemas.openxmlformats.org/officeDocument/2006/customXml" ds:itemID="{8A791B99-7DCC-4E3D-B2A7-13EDA1D36537}"/>
</file>

<file path=customXml/itemProps2.xml><?xml version="1.0" encoding="utf-8"?>
<ds:datastoreItem xmlns:ds="http://schemas.openxmlformats.org/officeDocument/2006/customXml" ds:itemID="{08169173-8F00-4A13-B9FA-649C83C659AA}"/>
</file>

<file path=customXml/itemProps3.xml><?xml version="1.0" encoding="utf-8"?>
<ds:datastoreItem xmlns:ds="http://schemas.openxmlformats.org/officeDocument/2006/customXml" ds:itemID="{FF9756C9-8A08-417C-BACB-2CD22549DDB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Schweiz</vt:lpstr>
      <vt:lpstr>Graubünden</vt:lpstr>
      <vt:lpstr>Uebersetzungen</vt:lpstr>
      <vt:lpstr>Schweiz!Druckbereich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Ständige Wohnbevölkerung nach höchster agbeschlossener Ausbildung</dc:title>
  <dc:creator>Luzius.Stricker@awt.gr.ch</dc:creator>
  <cp:lastModifiedBy>Stricker Luzius</cp:lastModifiedBy>
  <cp:lastPrinted>2017-12-12T11:30:27Z</cp:lastPrinted>
  <dcterms:created xsi:type="dcterms:W3CDTF">2012-06-17T15:40:31Z</dcterms:created>
  <dcterms:modified xsi:type="dcterms:W3CDTF">2025-01-27T09:21:28Z</dcterms:modified>
  <cp:category>Strukturerhebung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0x010100BB33F42C86C3B544A091947C70CD57DC</vt:lpwstr>
  </property>
</Properties>
</file>